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shik\Downloads\アフィリエイトリンク\FXアフィリエイト\stable3\現在使用中\"/>
    </mc:Choice>
  </mc:AlternateContent>
  <xr:revisionPtr revIDLastSave="0" documentId="8_{1A7F636D-AD39-4067-9B0F-F0A2333581FC}" xr6:coauthVersionLast="47" xr6:coauthVersionMax="47" xr10:uidLastSave="{00000000-0000-0000-0000-000000000000}"/>
  <bookViews>
    <workbookView xWindow="-108" yWindow="-108" windowWidth="23256" windowHeight="12456" firstSheet="1" activeTab="1" xr2:uid="{59815CE1-572A-4313-88FF-82B70874056E}"/>
  </bookViews>
  <sheets>
    <sheet name="8連敗以上出現数" sheetId="1" r:id="rId1"/>
    <sheet name="はじめに(運用法選択)" sheetId="23" r:id="rId2"/>
    <sheet name="運用金額・複利目標金額計算表" sheetId="34" r:id="rId3"/>
    <sheet name="Stable3シュミレーション表" sheetId="22" r:id="rId4"/>
    <sheet name="参考)Stable3シュミレーション自由入力タイプ" sheetId="36" r:id="rId5"/>
    <sheet name="推奨設定一覧" sheetId="35" r:id="rId6"/>
    <sheet name="参考)連敗阻止ロット・TP試算表" sheetId="32" r:id="rId7"/>
  </sheets>
  <definedNames>
    <definedName name="_xlnm.Print_Area" localSheetId="0">'8連敗以上出現数'!$A$1:$X$57</definedName>
    <definedName name="_xlnm.Print_Area" localSheetId="3">Stable3シュミレーション表!$B$4:$P$83</definedName>
    <definedName name="_xlnm.Print_Area" localSheetId="1">'はじめに(運用法選択)'!$A$1:$N$105</definedName>
    <definedName name="_xlnm.Print_Area" localSheetId="4">'参考)Stable3シュミレーション自由入力タイプ'!$B$2:$P$80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22" l="1"/>
  <c r="E6" i="32"/>
  <c r="E7" i="32"/>
  <c r="D4" i="32"/>
  <c r="H4" i="22"/>
  <c r="F5" i="22" s="1"/>
  <c r="H5" i="22" l="1"/>
  <c r="E18" i="34"/>
  <c r="G30" i="23"/>
  <c r="D28" i="23"/>
  <c r="H46" i="23" s="1"/>
  <c r="F13" i="34"/>
  <c r="E34" i="23" l="1"/>
  <c r="H45" i="23" s="1"/>
  <c r="H16" i="34"/>
  <c r="H17" i="34" s="1"/>
  <c r="E35" i="23"/>
  <c r="E45" i="23" l="1"/>
  <c r="K88" i="36"/>
  <c r="I82" i="36"/>
  <c r="K76" i="36"/>
  <c r="I69" i="36"/>
  <c r="O61" i="36"/>
  <c r="I58" i="36"/>
  <c r="I48" i="36"/>
  <c r="K44" i="36"/>
  <c r="K40" i="36"/>
  <c r="I39" i="36"/>
  <c r="K34" i="36"/>
  <c r="O32" i="36"/>
  <c r="I31" i="36"/>
  <c r="I24" i="36"/>
  <c r="O18" i="36"/>
  <c r="I18" i="36"/>
  <c r="O14" i="36"/>
  <c r="K13" i="36"/>
  <c r="I13" i="36"/>
  <c r="F13" i="36" s="1"/>
  <c r="G13" i="36" s="1"/>
  <c r="K9" i="36"/>
  <c r="I9" i="36"/>
  <c r="Q6" i="36"/>
  <c r="Q41" i="36" s="1"/>
  <c r="P6" i="36"/>
  <c r="P41" i="36" s="1"/>
  <c r="O6" i="36"/>
  <c r="O98" i="36" s="1"/>
  <c r="N6" i="36"/>
  <c r="N83" i="36" s="1"/>
  <c r="K6" i="36"/>
  <c r="K108" i="36" s="1"/>
  <c r="J6" i="36"/>
  <c r="J42" i="36" s="1"/>
  <c r="I6" i="36"/>
  <c r="E43" i="23"/>
  <c r="B23" i="34"/>
  <c r="F23" i="34" s="1"/>
  <c r="I23" i="34" s="1"/>
  <c r="P26" i="36" l="1"/>
  <c r="P45" i="36"/>
  <c r="B31" i="34"/>
  <c r="B94" i="34"/>
  <c r="B86" i="34"/>
  <c r="B78" i="34"/>
  <c r="B70" i="34"/>
  <c r="B62" i="34"/>
  <c r="B54" i="34"/>
  <c r="B46" i="34"/>
  <c r="B38" i="34"/>
  <c r="J431" i="34"/>
  <c r="J423" i="34"/>
  <c r="J415" i="34"/>
  <c r="J407" i="34"/>
  <c r="J399" i="34"/>
  <c r="J391" i="34"/>
  <c r="J383" i="34"/>
  <c r="J375" i="34"/>
  <c r="J367" i="34"/>
  <c r="J359" i="34"/>
  <c r="J351" i="34"/>
  <c r="J343" i="34"/>
  <c r="J335" i="34"/>
  <c r="J327" i="34"/>
  <c r="J319" i="34"/>
  <c r="J311" i="34"/>
  <c r="J303" i="34"/>
  <c r="J295" i="34"/>
  <c r="J287" i="34"/>
  <c r="J279" i="34"/>
  <c r="J271" i="34"/>
  <c r="J263" i="34"/>
  <c r="J255" i="34"/>
  <c r="J247" i="34"/>
  <c r="J239" i="34"/>
  <c r="J231" i="34"/>
  <c r="J223" i="34"/>
  <c r="J215" i="34"/>
  <c r="J207" i="34"/>
  <c r="J199" i="34"/>
  <c r="J191" i="34"/>
  <c r="J183" i="34"/>
  <c r="J175" i="34"/>
  <c r="J167" i="34"/>
  <c r="J159" i="34"/>
  <c r="J151" i="34"/>
  <c r="J143" i="34"/>
  <c r="J135" i="34"/>
  <c r="J127" i="34"/>
  <c r="J119" i="34"/>
  <c r="J111" i="34"/>
  <c r="J103" i="34"/>
  <c r="J95" i="34"/>
  <c r="J87" i="34"/>
  <c r="J79" i="34"/>
  <c r="J71" i="34"/>
  <c r="J63" i="34"/>
  <c r="J55" i="34"/>
  <c r="J47" i="34"/>
  <c r="J39" i="34"/>
  <c r="B101" i="34"/>
  <c r="B93" i="34"/>
  <c r="B85" i="34"/>
  <c r="B77" i="34"/>
  <c r="B69" i="34"/>
  <c r="B61" i="34"/>
  <c r="B53" i="34"/>
  <c r="B45" i="34"/>
  <c r="B37" i="34"/>
  <c r="J430" i="34"/>
  <c r="J422" i="34"/>
  <c r="J414" i="34"/>
  <c r="J406" i="34"/>
  <c r="J398" i="34"/>
  <c r="J390" i="34"/>
  <c r="J382" i="34"/>
  <c r="J374" i="34"/>
  <c r="J366" i="34"/>
  <c r="J358" i="34"/>
  <c r="J350" i="34"/>
  <c r="J342" i="34"/>
  <c r="J334" i="34"/>
  <c r="J326" i="34"/>
  <c r="J318" i="34"/>
  <c r="J310" i="34"/>
  <c r="J302" i="34"/>
  <c r="J294" i="34"/>
  <c r="J286" i="34"/>
  <c r="J278" i="34"/>
  <c r="J270" i="34"/>
  <c r="J262" i="34"/>
  <c r="J254" i="34"/>
  <c r="J246" i="34"/>
  <c r="J238" i="34"/>
  <c r="J230" i="34"/>
  <c r="J222" i="34"/>
  <c r="J214" i="34"/>
  <c r="J206" i="34"/>
  <c r="J198" i="34"/>
  <c r="J190" i="34"/>
  <c r="J182" i="34"/>
  <c r="J174" i="34"/>
  <c r="J166" i="34"/>
  <c r="J158" i="34"/>
  <c r="J150" i="34"/>
  <c r="J142" i="34"/>
  <c r="J134" i="34"/>
  <c r="J126" i="34"/>
  <c r="J118" i="34"/>
  <c r="J110" i="34"/>
  <c r="J102" i="34"/>
  <c r="J94" i="34"/>
  <c r="J86" i="34"/>
  <c r="J78" i="34"/>
  <c r="J70" i="34"/>
  <c r="J62" i="34"/>
  <c r="J54" i="34"/>
  <c r="J46" i="34"/>
  <c r="J38" i="34"/>
  <c r="B100" i="34"/>
  <c r="B92" i="34"/>
  <c r="B84" i="34"/>
  <c r="B76" i="34"/>
  <c r="B68" i="34"/>
  <c r="B60" i="34"/>
  <c r="B52" i="34"/>
  <c r="B44" i="34"/>
  <c r="B36" i="34"/>
  <c r="J429" i="34"/>
  <c r="J421" i="34"/>
  <c r="J413" i="34"/>
  <c r="J405" i="34"/>
  <c r="J397" i="34"/>
  <c r="J389" i="34"/>
  <c r="J381" i="34"/>
  <c r="J373" i="34"/>
  <c r="J365" i="34"/>
  <c r="J357" i="34"/>
  <c r="J349" i="34"/>
  <c r="J341" i="34"/>
  <c r="J333" i="34"/>
  <c r="J325" i="34"/>
  <c r="J317" i="34"/>
  <c r="J309" i="34"/>
  <c r="J301" i="34"/>
  <c r="J293" i="34"/>
  <c r="J285" i="34"/>
  <c r="J277" i="34"/>
  <c r="J269" i="34"/>
  <c r="J261" i="34"/>
  <c r="J253" i="34"/>
  <c r="J245" i="34"/>
  <c r="J237" i="34"/>
  <c r="J229" i="34"/>
  <c r="J221" i="34"/>
  <c r="J213" i="34"/>
  <c r="J205" i="34"/>
  <c r="J197" i="34"/>
  <c r="J189" i="34"/>
  <c r="J181" i="34"/>
  <c r="J173" i="34"/>
  <c r="J165" i="34"/>
  <c r="J157" i="34"/>
  <c r="J149" i="34"/>
  <c r="J141" i="34"/>
  <c r="J133" i="34"/>
  <c r="J125" i="34"/>
  <c r="J117" i="34"/>
  <c r="J109" i="34"/>
  <c r="J101" i="34"/>
  <c r="J93" i="34"/>
  <c r="J85" i="34"/>
  <c r="J77" i="34"/>
  <c r="J69" i="34"/>
  <c r="J61" i="34"/>
  <c r="J53" i="34"/>
  <c r="J45" i="34"/>
  <c r="J37" i="34"/>
  <c r="B99" i="34"/>
  <c r="B91" i="34"/>
  <c r="B83" i="34"/>
  <c r="B75" i="34"/>
  <c r="B67" i="34"/>
  <c r="B59" i="34"/>
  <c r="B51" i="34"/>
  <c r="B43" i="34"/>
  <c r="B35" i="34"/>
  <c r="J428" i="34"/>
  <c r="J420" i="34"/>
  <c r="J412" i="34"/>
  <c r="J404" i="34"/>
  <c r="J396" i="34"/>
  <c r="J388" i="34"/>
  <c r="J380" i="34"/>
  <c r="J372" i="34"/>
  <c r="J364" i="34"/>
  <c r="J356" i="34"/>
  <c r="J348" i="34"/>
  <c r="J340" i="34"/>
  <c r="J332" i="34"/>
  <c r="J324" i="34"/>
  <c r="J316" i="34"/>
  <c r="J308" i="34"/>
  <c r="J300" i="34"/>
  <c r="J292" i="34"/>
  <c r="J284" i="34"/>
  <c r="J276" i="34"/>
  <c r="J268" i="34"/>
  <c r="J260" i="34"/>
  <c r="J252" i="34"/>
  <c r="J244" i="34"/>
  <c r="J236" i="34"/>
  <c r="J228" i="34"/>
  <c r="J220" i="34"/>
  <c r="J212" i="34"/>
  <c r="J204" i="34"/>
  <c r="J196" i="34"/>
  <c r="J188" i="34"/>
  <c r="J180" i="34"/>
  <c r="J172" i="34"/>
  <c r="J164" i="34"/>
  <c r="J156" i="34"/>
  <c r="J148" i="34"/>
  <c r="J140" i="34"/>
  <c r="J132" i="34"/>
  <c r="J124" i="34"/>
  <c r="J116" i="34"/>
  <c r="J108" i="34"/>
  <c r="J100" i="34"/>
  <c r="J92" i="34"/>
  <c r="J84" i="34"/>
  <c r="J76" i="34"/>
  <c r="J68" i="34"/>
  <c r="J60" i="34"/>
  <c r="J52" i="34"/>
  <c r="J44" i="34"/>
  <c r="J36" i="34"/>
  <c r="B98" i="34"/>
  <c r="B90" i="34"/>
  <c r="B82" i="34"/>
  <c r="B74" i="34"/>
  <c r="B66" i="34"/>
  <c r="B58" i="34"/>
  <c r="B50" i="34"/>
  <c r="B42" i="34"/>
  <c r="B34" i="34"/>
  <c r="J427" i="34"/>
  <c r="J419" i="34"/>
  <c r="J411" i="34"/>
  <c r="J403" i="34"/>
  <c r="J395" i="34"/>
  <c r="J387" i="34"/>
  <c r="J379" i="34"/>
  <c r="J371" i="34"/>
  <c r="J363" i="34"/>
  <c r="J355" i="34"/>
  <c r="J347" i="34"/>
  <c r="J339" i="34"/>
  <c r="J331" i="34"/>
  <c r="J323" i="34"/>
  <c r="J315" i="34"/>
  <c r="J307" i="34"/>
  <c r="J299" i="34"/>
  <c r="J291" i="34"/>
  <c r="J283" i="34"/>
  <c r="J275" i="34"/>
  <c r="J267" i="34"/>
  <c r="J259" i="34"/>
  <c r="J251" i="34"/>
  <c r="J243" i="34"/>
  <c r="J235" i="34"/>
  <c r="J227" i="34"/>
  <c r="J219" i="34"/>
  <c r="J211" i="34"/>
  <c r="J203" i="34"/>
  <c r="J195" i="34"/>
  <c r="J187" i="34"/>
  <c r="J179" i="34"/>
  <c r="J171" i="34"/>
  <c r="J163" i="34"/>
  <c r="J155" i="34"/>
  <c r="J147" i="34"/>
  <c r="M147" i="34" s="1"/>
  <c r="N147" i="34" s="1"/>
  <c r="J139" i="34"/>
  <c r="J131" i="34"/>
  <c r="J123" i="34"/>
  <c r="J115" i="34"/>
  <c r="J107" i="34"/>
  <c r="J99" i="34"/>
  <c r="J91" i="34"/>
  <c r="J83" i="34"/>
  <c r="J75" i="34"/>
  <c r="J67" i="34"/>
  <c r="J59" i="34"/>
  <c r="J51" i="34"/>
  <c r="J43" i="34"/>
  <c r="J35" i="34"/>
  <c r="B97" i="34"/>
  <c r="B89" i="34"/>
  <c r="B81" i="34"/>
  <c r="B73" i="34"/>
  <c r="B65" i="34"/>
  <c r="B57" i="34"/>
  <c r="B49" i="34"/>
  <c r="B41" i="34"/>
  <c r="B33" i="34"/>
  <c r="J426" i="34"/>
  <c r="J418" i="34"/>
  <c r="J410" i="34"/>
  <c r="J402" i="34"/>
  <c r="J394" i="34"/>
  <c r="J386" i="34"/>
  <c r="J378" i="34"/>
  <c r="J370" i="34"/>
  <c r="J362" i="34"/>
  <c r="J354" i="34"/>
  <c r="J346" i="34"/>
  <c r="J338" i="34"/>
  <c r="J330" i="34"/>
  <c r="J322" i="34"/>
  <c r="J314" i="34"/>
  <c r="J306" i="34"/>
  <c r="J298" i="34"/>
  <c r="J290" i="34"/>
  <c r="J282" i="34"/>
  <c r="J274" i="34"/>
  <c r="J266" i="34"/>
  <c r="J258" i="34"/>
  <c r="J250" i="34"/>
  <c r="J242" i="34"/>
  <c r="J234" i="34"/>
  <c r="J226" i="34"/>
  <c r="J218" i="34"/>
  <c r="J210" i="34"/>
  <c r="J202" i="34"/>
  <c r="J194" i="34"/>
  <c r="J186" i="34"/>
  <c r="J178" i="34"/>
  <c r="J170" i="34"/>
  <c r="J162" i="34"/>
  <c r="J154" i="34"/>
  <c r="J146" i="34"/>
  <c r="J138" i="34"/>
  <c r="J130" i="34"/>
  <c r="J122" i="34"/>
  <c r="J114" i="34"/>
  <c r="J106" i="34"/>
  <c r="J98" i="34"/>
  <c r="J90" i="34"/>
  <c r="J82" i="34"/>
  <c r="J74" i="34"/>
  <c r="J66" i="34"/>
  <c r="J58" i="34"/>
  <c r="J50" i="34"/>
  <c r="J42" i="34"/>
  <c r="J34" i="34"/>
  <c r="B96" i="34"/>
  <c r="B88" i="34"/>
  <c r="B80" i="34"/>
  <c r="B72" i="34"/>
  <c r="B64" i="34"/>
  <c r="B56" i="34"/>
  <c r="B48" i="34"/>
  <c r="B40" i="34"/>
  <c r="B32" i="34"/>
  <c r="J425" i="34"/>
  <c r="J417" i="34"/>
  <c r="J409" i="34"/>
  <c r="J401" i="34"/>
  <c r="J393" i="34"/>
  <c r="J385" i="34"/>
  <c r="J377" i="34"/>
  <c r="J369" i="34"/>
  <c r="J361" i="34"/>
  <c r="J353" i="34"/>
  <c r="J345" i="34"/>
  <c r="J337" i="34"/>
  <c r="J329" i="34"/>
  <c r="J321" i="34"/>
  <c r="J313" i="34"/>
  <c r="J305" i="34"/>
  <c r="J297" i="34"/>
  <c r="J289" i="34"/>
  <c r="J281" i="34"/>
  <c r="J273" i="34"/>
  <c r="J265" i="34"/>
  <c r="J257" i="34"/>
  <c r="J249" i="34"/>
  <c r="J241" i="34"/>
  <c r="J233" i="34"/>
  <c r="J225" i="34"/>
  <c r="J217" i="34"/>
  <c r="J209" i="34"/>
  <c r="J201" i="34"/>
  <c r="J193" i="34"/>
  <c r="J185" i="34"/>
  <c r="J177" i="34"/>
  <c r="J169" i="34"/>
  <c r="J161" i="34"/>
  <c r="J153" i="34"/>
  <c r="J145" i="34"/>
  <c r="J137" i="34"/>
  <c r="J129" i="34"/>
  <c r="J121" i="34"/>
  <c r="J113" i="34"/>
  <c r="J105" i="34"/>
  <c r="J97" i="34"/>
  <c r="J89" i="34"/>
  <c r="J81" i="34"/>
  <c r="J73" i="34"/>
  <c r="J65" i="34"/>
  <c r="J57" i="34"/>
  <c r="J49" i="34"/>
  <c r="J41" i="34"/>
  <c r="J33" i="34"/>
  <c r="D28" i="34"/>
  <c r="B95" i="34"/>
  <c r="B87" i="34"/>
  <c r="B79" i="34"/>
  <c r="B71" i="34"/>
  <c r="B63" i="34"/>
  <c r="B55" i="34"/>
  <c r="B47" i="34"/>
  <c r="B39" i="34"/>
  <c r="J31" i="34"/>
  <c r="J424" i="34"/>
  <c r="J416" i="34"/>
  <c r="J408" i="34"/>
  <c r="J400" i="34"/>
  <c r="J392" i="34"/>
  <c r="J384" i="34"/>
  <c r="J376" i="34"/>
  <c r="J368" i="34"/>
  <c r="J360" i="34"/>
  <c r="J352" i="34"/>
  <c r="J344" i="34"/>
  <c r="J336" i="34"/>
  <c r="J328" i="34"/>
  <c r="J320" i="34"/>
  <c r="J312" i="34"/>
  <c r="J304" i="34"/>
  <c r="J296" i="34"/>
  <c r="J288" i="34"/>
  <c r="J280" i="34"/>
  <c r="J272" i="34"/>
  <c r="J264" i="34"/>
  <c r="J256" i="34"/>
  <c r="J248" i="34"/>
  <c r="J240" i="34"/>
  <c r="J232" i="34"/>
  <c r="J224" i="34"/>
  <c r="J216" i="34"/>
  <c r="J208" i="34"/>
  <c r="J200" i="34"/>
  <c r="J192" i="34"/>
  <c r="J184" i="34"/>
  <c r="J176" i="34"/>
  <c r="J168" i="34"/>
  <c r="J160" i="34"/>
  <c r="J152" i="34"/>
  <c r="J144" i="34"/>
  <c r="J136" i="34"/>
  <c r="J128" i="34"/>
  <c r="J120" i="34"/>
  <c r="J112" i="34"/>
  <c r="J104" i="34"/>
  <c r="J96" i="34"/>
  <c r="J88" i="34"/>
  <c r="J80" i="34"/>
  <c r="J72" i="34"/>
  <c r="J64" i="34"/>
  <c r="J56" i="34"/>
  <c r="J48" i="34"/>
  <c r="J40" i="34"/>
  <c r="J32" i="34"/>
  <c r="N25" i="36"/>
  <c r="P39" i="36"/>
  <c r="Q32" i="36"/>
  <c r="F6" i="36"/>
  <c r="G6" i="36" s="1"/>
  <c r="G7" i="36" s="1"/>
  <c r="F9" i="36"/>
  <c r="G9" i="36" s="1"/>
  <c r="K15" i="36"/>
  <c r="O26" i="36"/>
  <c r="K33" i="36"/>
  <c r="Q39" i="36"/>
  <c r="Q45" i="36"/>
  <c r="O65" i="36"/>
  <c r="K84" i="36"/>
  <c r="Q9" i="36"/>
  <c r="K35" i="36"/>
  <c r="K42" i="36"/>
  <c r="K71" i="36"/>
  <c r="O90" i="36"/>
  <c r="K10" i="36"/>
  <c r="K19" i="36"/>
  <c r="K31" i="36"/>
  <c r="K36" i="36"/>
  <c r="N42" i="36"/>
  <c r="O49" i="36"/>
  <c r="K72" i="36"/>
  <c r="K93" i="36"/>
  <c r="O19" i="36"/>
  <c r="Q31" i="36"/>
  <c r="O36" i="36"/>
  <c r="P43" i="36"/>
  <c r="K50" i="36"/>
  <c r="Q73" i="36"/>
  <c r="K48" i="36"/>
  <c r="K21" i="36"/>
  <c r="K32" i="36"/>
  <c r="Q36" i="36"/>
  <c r="Q43" i="36"/>
  <c r="Q54" i="36"/>
  <c r="K75" i="36"/>
  <c r="J21" i="36"/>
  <c r="J15" i="36"/>
  <c r="N24" i="36"/>
  <c r="Q35" i="36"/>
  <c r="J41" i="36"/>
  <c r="P42" i="36"/>
  <c r="J44" i="36"/>
  <c r="P49" i="36"/>
  <c r="I49" i="36" s="1"/>
  <c r="F82" i="36"/>
  <c r="G82" i="36" s="1"/>
  <c r="O105" i="36"/>
  <c r="O97" i="36"/>
  <c r="O89" i="36"/>
  <c r="O108" i="36"/>
  <c r="O100" i="36"/>
  <c r="O92" i="36"/>
  <c r="O84" i="36"/>
  <c r="O78" i="36"/>
  <c r="O76" i="36"/>
  <c r="O74" i="36"/>
  <c r="O72" i="36"/>
  <c r="O70" i="36"/>
  <c r="O111" i="36"/>
  <c r="O103" i="36"/>
  <c r="O95" i="36"/>
  <c r="O87" i="36"/>
  <c r="O66" i="36"/>
  <c r="O64" i="36"/>
  <c r="O62" i="36"/>
  <c r="O60" i="36"/>
  <c r="O58" i="36"/>
  <c r="O109" i="36"/>
  <c r="O101" i="36"/>
  <c r="O93" i="36"/>
  <c r="O104" i="36"/>
  <c r="O96" i="36"/>
  <c r="O88" i="36"/>
  <c r="O77" i="36"/>
  <c r="O75" i="36"/>
  <c r="O73" i="36"/>
  <c r="O71" i="36"/>
  <c r="O69" i="36"/>
  <c r="O85" i="36"/>
  <c r="O54" i="36"/>
  <c r="O53" i="36"/>
  <c r="O99" i="36"/>
  <c r="O91" i="36"/>
  <c r="O55" i="36"/>
  <c r="O52" i="36"/>
  <c r="O45" i="36"/>
  <c r="O43" i="36"/>
  <c r="O41" i="36"/>
  <c r="O39" i="36"/>
  <c r="O107" i="36"/>
  <c r="O94" i="36"/>
  <c r="O86" i="36"/>
  <c r="O63" i="36"/>
  <c r="O59" i="36"/>
  <c r="O51" i="36"/>
  <c r="O35" i="36"/>
  <c r="O33" i="36"/>
  <c r="O31" i="36"/>
  <c r="H31" i="36" s="1"/>
  <c r="O10" i="36"/>
  <c r="O102" i="36"/>
  <c r="O82" i="36"/>
  <c r="O27" i="36"/>
  <c r="O25" i="36"/>
  <c r="O110" i="36"/>
  <c r="O50" i="36"/>
  <c r="O48" i="36"/>
  <c r="O83" i="36"/>
  <c r="O44" i="36"/>
  <c r="O42" i="36"/>
  <c r="O40" i="36"/>
  <c r="O15" i="36"/>
  <c r="O13" i="36"/>
  <c r="J9" i="36"/>
  <c r="J13" i="36"/>
  <c r="J14" i="36"/>
  <c r="N18" i="36"/>
  <c r="O20" i="36"/>
  <c r="O21" i="36"/>
  <c r="O24" i="36"/>
  <c r="O28" i="36"/>
  <c r="N34" i="36"/>
  <c r="J40" i="36"/>
  <c r="F48" i="36"/>
  <c r="G48" i="36" s="1"/>
  <c r="Q49" i="36"/>
  <c r="Q69" i="36"/>
  <c r="O106" i="36"/>
  <c r="N28" i="36"/>
  <c r="P108" i="36"/>
  <c r="P100" i="36"/>
  <c r="P92" i="36"/>
  <c r="P84" i="36"/>
  <c r="P78" i="36"/>
  <c r="P76" i="36"/>
  <c r="P74" i="36"/>
  <c r="P72" i="36"/>
  <c r="P70" i="36"/>
  <c r="I70" i="36" s="1"/>
  <c r="P111" i="36"/>
  <c r="P103" i="36"/>
  <c r="P95" i="36"/>
  <c r="P87" i="36"/>
  <c r="P66" i="36"/>
  <c r="P64" i="36"/>
  <c r="P62" i="36"/>
  <c r="P60" i="36"/>
  <c r="P106" i="36"/>
  <c r="P98" i="36"/>
  <c r="P90" i="36"/>
  <c r="P82" i="36"/>
  <c r="P54" i="36"/>
  <c r="P52" i="36"/>
  <c r="P104" i="36"/>
  <c r="P96" i="36"/>
  <c r="P107" i="36"/>
  <c r="P99" i="36"/>
  <c r="P91" i="36"/>
  <c r="P83" i="36"/>
  <c r="I83" i="36" s="1"/>
  <c r="P65" i="36"/>
  <c r="P63" i="36"/>
  <c r="P61" i="36"/>
  <c r="P59" i="36"/>
  <c r="I59" i="36" s="1"/>
  <c r="P109" i="36"/>
  <c r="P77" i="36"/>
  <c r="P73" i="36"/>
  <c r="P69" i="36"/>
  <c r="P58" i="36"/>
  <c r="P55" i="36"/>
  <c r="P94" i="36"/>
  <c r="P86" i="36"/>
  <c r="P51" i="36"/>
  <c r="P35" i="36"/>
  <c r="P33" i="36"/>
  <c r="P31" i="36"/>
  <c r="P102" i="36"/>
  <c r="P27" i="36"/>
  <c r="P25" i="36"/>
  <c r="I25" i="36" s="1"/>
  <c r="P110" i="36"/>
  <c r="P97" i="36"/>
  <c r="P50" i="36"/>
  <c r="P48" i="36"/>
  <c r="P21" i="36"/>
  <c r="P19" i="36"/>
  <c r="I19" i="36" s="1"/>
  <c r="P105" i="36"/>
  <c r="P88" i="36"/>
  <c r="P75" i="36"/>
  <c r="P71" i="36"/>
  <c r="P44" i="36"/>
  <c r="P36" i="36"/>
  <c r="P34" i="36"/>
  <c r="P32" i="36"/>
  <c r="I32" i="36" s="1"/>
  <c r="P9" i="36"/>
  <c r="N15" i="36"/>
  <c r="P20" i="36"/>
  <c r="P24" i="36"/>
  <c r="J27" i="36"/>
  <c r="P28" i="36"/>
  <c r="O34" i="36"/>
  <c r="N44" i="36"/>
  <c r="J48" i="36"/>
  <c r="P93" i="36"/>
  <c r="N110" i="36"/>
  <c r="N102" i="36"/>
  <c r="N94" i="36"/>
  <c r="N86" i="36"/>
  <c r="N55" i="36"/>
  <c r="N105" i="36"/>
  <c r="N97" i="36"/>
  <c r="N89" i="36"/>
  <c r="N108" i="36"/>
  <c r="N100" i="36"/>
  <c r="N92" i="36"/>
  <c r="N84" i="36"/>
  <c r="N78" i="36"/>
  <c r="N76" i="36"/>
  <c r="N74" i="36"/>
  <c r="N72" i="36"/>
  <c r="N70" i="36"/>
  <c r="N111" i="36"/>
  <c r="N106" i="36"/>
  <c r="N98" i="36"/>
  <c r="N109" i="36"/>
  <c r="N101" i="36"/>
  <c r="N93" i="36"/>
  <c r="N85" i="36"/>
  <c r="N96" i="36"/>
  <c r="N90" i="36"/>
  <c r="N66" i="36"/>
  <c r="N62" i="36"/>
  <c r="N104" i="36"/>
  <c r="N77" i="36"/>
  <c r="N73" i="36"/>
  <c r="N69" i="36"/>
  <c r="N58" i="36"/>
  <c r="N54" i="36"/>
  <c r="N53" i="36"/>
  <c r="N49" i="36"/>
  <c r="N99" i="36"/>
  <c r="N91" i="36"/>
  <c r="N52" i="36"/>
  <c r="N45" i="36"/>
  <c r="N43" i="36"/>
  <c r="N41" i="36"/>
  <c r="N39" i="36"/>
  <c r="N14" i="36"/>
  <c r="N107" i="36"/>
  <c r="N87" i="36"/>
  <c r="N63" i="36"/>
  <c r="N59" i="36"/>
  <c r="N51" i="36"/>
  <c r="N35" i="36"/>
  <c r="N33" i="36"/>
  <c r="N31" i="36"/>
  <c r="N10" i="36"/>
  <c r="N82" i="36"/>
  <c r="N64" i="36"/>
  <c r="N60" i="36"/>
  <c r="N95" i="36"/>
  <c r="N88" i="36"/>
  <c r="N75" i="36"/>
  <c r="N71" i="36"/>
  <c r="N50" i="36"/>
  <c r="N48" i="36"/>
  <c r="N21" i="36"/>
  <c r="N19" i="36"/>
  <c r="J19" i="36"/>
  <c r="N13" i="36"/>
  <c r="E13" i="36" s="1"/>
  <c r="J50" i="36"/>
  <c r="P53" i="36"/>
  <c r="J89" i="36"/>
  <c r="P101" i="36"/>
  <c r="J98" i="36"/>
  <c r="N20" i="36"/>
  <c r="Q111" i="36"/>
  <c r="Q103" i="36"/>
  <c r="Q95" i="36"/>
  <c r="Q87" i="36"/>
  <c r="Q66" i="36"/>
  <c r="Q64" i="36"/>
  <c r="Q62" i="36"/>
  <c r="Q60" i="36"/>
  <c r="Q58" i="36"/>
  <c r="Q106" i="36"/>
  <c r="Q98" i="36"/>
  <c r="Q90" i="36"/>
  <c r="Q82" i="36"/>
  <c r="Q109" i="36"/>
  <c r="Q101" i="36"/>
  <c r="Q93" i="36"/>
  <c r="Q85" i="36"/>
  <c r="Q107" i="36"/>
  <c r="Q99" i="36"/>
  <c r="Q110" i="36"/>
  <c r="Q102" i="36"/>
  <c r="Q94" i="36"/>
  <c r="Q86" i="36"/>
  <c r="Q55" i="36"/>
  <c r="Q53" i="36"/>
  <c r="Q51" i="36"/>
  <c r="Q104" i="36"/>
  <c r="Q91" i="36"/>
  <c r="Q52" i="36"/>
  <c r="Q63" i="36"/>
  <c r="Q59" i="36"/>
  <c r="Q27" i="36"/>
  <c r="Q25" i="36"/>
  <c r="Q97" i="36"/>
  <c r="Q78" i="36"/>
  <c r="Q74" i="36"/>
  <c r="Q70" i="36"/>
  <c r="Q50" i="36"/>
  <c r="Q48" i="36"/>
  <c r="Q21" i="36"/>
  <c r="Q19" i="36"/>
  <c r="Q105" i="36"/>
  <c r="Q92" i="36"/>
  <c r="Q88" i="36"/>
  <c r="Q75" i="36"/>
  <c r="Q71" i="36"/>
  <c r="Q44" i="36"/>
  <c r="Q42" i="36"/>
  <c r="Q40" i="36"/>
  <c r="Q15" i="36"/>
  <c r="Q13" i="36"/>
  <c r="Q100" i="36"/>
  <c r="Q83" i="36"/>
  <c r="Q108" i="36"/>
  <c r="Q89" i="36"/>
  <c r="Q65" i="36"/>
  <c r="Q61" i="36"/>
  <c r="Q28" i="36"/>
  <c r="Q26" i="36"/>
  <c r="Q24" i="36"/>
  <c r="N9" i="36"/>
  <c r="E9" i="36" s="1"/>
  <c r="P10" i="36"/>
  <c r="I10" i="36" s="1"/>
  <c r="P14" i="36"/>
  <c r="I14" i="36" s="1"/>
  <c r="P15" i="36"/>
  <c r="P18" i="36"/>
  <c r="Q20" i="36"/>
  <c r="N27" i="36"/>
  <c r="Q34" i="36"/>
  <c r="N40" i="36"/>
  <c r="H6" i="36"/>
  <c r="O9" i="36"/>
  <c r="H9" i="36" s="1"/>
  <c r="Q10" i="36"/>
  <c r="P13" i="36"/>
  <c r="Q14" i="36"/>
  <c r="Q18" i="36"/>
  <c r="H18" i="36" s="1"/>
  <c r="N26" i="36"/>
  <c r="Q33" i="36"/>
  <c r="J39" i="36"/>
  <c r="P40" i="36"/>
  <c r="I40" i="36" s="1"/>
  <c r="J43" i="36"/>
  <c r="N65" i="36"/>
  <c r="Q76" i="36"/>
  <c r="Q84" i="36"/>
  <c r="P89" i="36"/>
  <c r="N32" i="36"/>
  <c r="N36" i="36"/>
  <c r="Q77" i="36"/>
  <c r="P85" i="36"/>
  <c r="Q96" i="36"/>
  <c r="J104" i="36"/>
  <c r="J96" i="36"/>
  <c r="J88" i="36"/>
  <c r="J77" i="36"/>
  <c r="J75" i="36"/>
  <c r="J73" i="36"/>
  <c r="J71" i="36"/>
  <c r="J69" i="36"/>
  <c r="J107" i="36"/>
  <c r="J99" i="36"/>
  <c r="J91" i="36"/>
  <c r="J83" i="36"/>
  <c r="J65" i="36"/>
  <c r="J63" i="36"/>
  <c r="J61" i="36"/>
  <c r="J59" i="36"/>
  <c r="J110" i="36"/>
  <c r="J102" i="36"/>
  <c r="J94" i="36"/>
  <c r="J86" i="36"/>
  <c r="J55" i="36"/>
  <c r="J53" i="36"/>
  <c r="J51" i="36"/>
  <c r="J108" i="36"/>
  <c r="J100" i="36"/>
  <c r="J92" i="36"/>
  <c r="J111" i="36"/>
  <c r="J103" i="36"/>
  <c r="J95" i="36"/>
  <c r="J87" i="36"/>
  <c r="J66" i="36"/>
  <c r="J64" i="36"/>
  <c r="J62" i="36"/>
  <c r="J60" i="36"/>
  <c r="J58" i="36"/>
  <c r="J106" i="36"/>
  <c r="J93" i="36"/>
  <c r="J84" i="36"/>
  <c r="J76" i="36"/>
  <c r="J72" i="36"/>
  <c r="J101" i="36"/>
  <c r="J90" i="36"/>
  <c r="J36" i="36"/>
  <c r="J34" i="36"/>
  <c r="J32" i="36"/>
  <c r="J109" i="36"/>
  <c r="J85" i="36"/>
  <c r="J54" i="36"/>
  <c r="J28" i="36"/>
  <c r="J26" i="36"/>
  <c r="J24" i="36"/>
  <c r="J52" i="36"/>
  <c r="J49" i="36"/>
  <c r="J20" i="36"/>
  <c r="J18" i="36"/>
  <c r="J97" i="36"/>
  <c r="J78" i="36"/>
  <c r="J74" i="36"/>
  <c r="J70" i="36"/>
  <c r="J45" i="36"/>
  <c r="J105" i="36"/>
  <c r="J82" i="36"/>
  <c r="J35" i="36"/>
  <c r="J33" i="36"/>
  <c r="J31" i="36"/>
  <c r="J10" i="36"/>
  <c r="J25" i="36"/>
  <c r="F31" i="36"/>
  <c r="G31" i="36" s="1"/>
  <c r="N61" i="36"/>
  <c r="Q72" i="36"/>
  <c r="N103" i="36"/>
  <c r="K107" i="36"/>
  <c r="K99" i="36"/>
  <c r="K91" i="36"/>
  <c r="K83" i="36"/>
  <c r="K65" i="36"/>
  <c r="K63" i="36"/>
  <c r="K61" i="36"/>
  <c r="K59" i="36"/>
  <c r="K110" i="36"/>
  <c r="K102" i="36"/>
  <c r="K94" i="36"/>
  <c r="K86" i="36"/>
  <c r="K105" i="36"/>
  <c r="K97" i="36"/>
  <c r="K89" i="36"/>
  <c r="K111" i="36"/>
  <c r="K103" i="36"/>
  <c r="K95" i="36"/>
  <c r="K106" i="36"/>
  <c r="K98" i="36"/>
  <c r="K90" i="36"/>
  <c r="K82" i="36"/>
  <c r="K54" i="36"/>
  <c r="K52" i="36"/>
  <c r="K25" i="36"/>
  <c r="K27" i="36"/>
  <c r="K60" i="36"/>
  <c r="K64" i="36"/>
  <c r="K100" i="36"/>
  <c r="K51" i="36"/>
  <c r="K87" i="36"/>
  <c r="K92" i="36"/>
  <c r="K14" i="36"/>
  <c r="K39" i="36"/>
  <c r="F39" i="36" s="1"/>
  <c r="G39" i="36" s="1"/>
  <c r="K41" i="36"/>
  <c r="K43" i="36"/>
  <c r="K45" i="36"/>
  <c r="K70" i="36"/>
  <c r="K74" i="36"/>
  <c r="K78" i="36"/>
  <c r="K18" i="36"/>
  <c r="F18" i="36" s="1"/>
  <c r="G18" i="36" s="1"/>
  <c r="K20" i="36"/>
  <c r="K49" i="36"/>
  <c r="K53" i="36"/>
  <c r="K55" i="36"/>
  <c r="K58" i="36"/>
  <c r="F58" i="36" s="1"/>
  <c r="G58" i="36" s="1"/>
  <c r="K69" i="36"/>
  <c r="F69" i="36" s="1"/>
  <c r="G69" i="36" s="1"/>
  <c r="K73" i="36"/>
  <c r="K77" i="36"/>
  <c r="K104" i="36"/>
  <c r="K24" i="36"/>
  <c r="F24" i="36" s="1"/>
  <c r="G24" i="36" s="1"/>
  <c r="K26" i="36"/>
  <c r="K28" i="36"/>
  <c r="K62" i="36"/>
  <c r="K66" i="36"/>
  <c r="K85" i="36"/>
  <c r="K96" i="36"/>
  <c r="K109" i="36"/>
  <c r="K101" i="36"/>
  <c r="G23" i="34"/>
  <c r="E6" i="36" l="1"/>
  <c r="H49" i="36"/>
  <c r="E18" i="36"/>
  <c r="D18" i="36" s="1"/>
  <c r="H39" i="36"/>
  <c r="E48" i="36"/>
  <c r="H24" i="36"/>
  <c r="H25" i="36"/>
  <c r="E24" i="36"/>
  <c r="F59" i="36"/>
  <c r="G59" i="36" s="1"/>
  <c r="I60" i="36"/>
  <c r="H60" i="36" s="1"/>
  <c r="I41" i="36"/>
  <c r="H41" i="36" s="1"/>
  <c r="F40" i="36"/>
  <c r="G40" i="36" s="1"/>
  <c r="F14" i="36"/>
  <c r="G14" i="36" s="1"/>
  <c r="E14" i="36" s="1"/>
  <c r="H14" i="36"/>
  <c r="I15" i="36"/>
  <c r="F15" i="36" s="1"/>
  <c r="F32" i="36"/>
  <c r="G32" i="36" s="1"/>
  <c r="I33" i="36"/>
  <c r="H33" i="36" s="1"/>
  <c r="H32" i="36"/>
  <c r="D9" i="36"/>
  <c r="E58" i="36"/>
  <c r="F70" i="36"/>
  <c r="G70" i="36" s="1"/>
  <c r="I71" i="36"/>
  <c r="H71" i="36" s="1"/>
  <c r="F25" i="36"/>
  <c r="G25" i="36" s="1"/>
  <c r="I26" i="36"/>
  <c r="H83" i="36"/>
  <c r="H10" i="36"/>
  <c r="H58" i="36"/>
  <c r="I84" i="36"/>
  <c r="F83" i="36"/>
  <c r="G83" i="36" s="1"/>
  <c r="E82" i="36"/>
  <c r="H48" i="36"/>
  <c r="H70" i="36"/>
  <c r="F19" i="36"/>
  <c r="G19" i="36" s="1"/>
  <c r="E19" i="36" s="1"/>
  <c r="H19" i="36"/>
  <c r="I20" i="36"/>
  <c r="H20" i="36" s="1"/>
  <c r="H82" i="36"/>
  <c r="A82" i="36" s="1"/>
  <c r="E69" i="36"/>
  <c r="F49" i="36"/>
  <c r="G49" i="36" s="1"/>
  <c r="I50" i="36"/>
  <c r="H50" i="36" s="1"/>
  <c r="E31" i="36"/>
  <c r="D31" i="36" s="1"/>
  <c r="H13" i="36"/>
  <c r="D13" i="36" s="1"/>
  <c r="E39" i="36"/>
  <c r="F10" i="36"/>
  <c r="G10" i="36" s="1"/>
  <c r="G11" i="36" s="1"/>
  <c r="H40" i="36"/>
  <c r="H59" i="36"/>
  <c r="H69" i="36"/>
  <c r="M195" i="34"/>
  <c r="N195" i="34" s="1"/>
  <c r="M221" i="34"/>
  <c r="N221" i="34" s="1"/>
  <c r="M211" i="34"/>
  <c r="N211" i="34" s="1"/>
  <c r="M224" i="34"/>
  <c r="N224" i="34" s="1"/>
  <c r="M194" i="34"/>
  <c r="N194" i="34" s="1"/>
  <c r="E74" i="34"/>
  <c r="F74" i="34" s="1"/>
  <c r="M171" i="34"/>
  <c r="N171" i="34" s="1"/>
  <c r="E73" i="34"/>
  <c r="F73" i="34" s="1"/>
  <c r="M219" i="34"/>
  <c r="N219" i="34" s="1"/>
  <c r="M192" i="34"/>
  <c r="N192" i="34" s="1"/>
  <c r="M170" i="34"/>
  <c r="N170" i="34" s="1"/>
  <c r="M218" i="34"/>
  <c r="N218" i="34" s="1"/>
  <c r="M187" i="34"/>
  <c r="N187" i="34" s="1"/>
  <c r="M162" i="34"/>
  <c r="N162" i="34" s="1"/>
  <c r="M217" i="34"/>
  <c r="N217" i="34" s="1"/>
  <c r="M203" i="34"/>
  <c r="N203" i="34" s="1"/>
  <c r="M186" i="34"/>
  <c r="N186" i="34" s="1"/>
  <c r="M216" i="34"/>
  <c r="N216" i="34" s="1"/>
  <c r="M202" i="34"/>
  <c r="N202" i="34" s="1"/>
  <c r="M184" i="34"/>
  <c r="N184" i="34" s="1"/>
  <c r="M153" i="34"/>
  <c r="N153" i="34" s="1"/>
  <c r="M225" i="34"/>
  <c r="N225" i="34" s="1"/>
  <c r="M178" i="34"/>
  <c r="N178" i="34" s="1"/>
  <c r="E75" i="34"/>
  <c r="F75" i="34" s="1"/>
  <c r="M210" i="34"/>
  <c r="N210" i="34" s="1"/>
  <c r="M177" i="34"/>
  <c r="N177" i="34" s="1"/>
  <c r="M209" i="34"/>
  <c r="N209" i="34" s="1"/>
  <c r="M193" i="34"/>
  <c r="N193" i="34" s="1"/>
  <c r="M208" i="34"/>
  <c r="N208" i="34" s="1"/>
  <c r="E72" i="34"/>
  <c r="F72" i="34" s="1"/>
  <c r="M205" i="34"/>
  <c r="N205" i="34" s="1"/>
  <c r="M229" i="34"/>
  <c r="N229" i="34" s="1"/>
  <c r="M161" i="34"/>
  <c r="N161" i="34" s="1"/>
  <c r="M227" i="34"/>
  <c r="N227" i="34" s="1"/>
  <c r="M226" i="34"/>
  <c r="N226" i="34" s="1"/>
  <c r="M213" i="34"/>
  <c r="N213" i="34" s="1"/>
  <c r="M200" i="34"/>
  <c r="N200" i="34" s="1"/>
  <c r="M179" i="34"/>
  <c r="N179" i="34" s="1"/>
  <c r="E89" i="34"/>
  <c r="F89" i="34" s="1"/>
  <c r="M233" i="34"/>
  <c r="N233" i="34" s="1"/>
  <c r="M241" i="34"/>
  <c r="N241" i="34" s="1"/>
  <c r="M249" i="34"/>
  <c r="N249" i="34" s="1"/>
  <c r="M257" i="34"/>
  <c r="N257" i="34" s="1"/>
  <c r="M265" i="34"/>
  <c r="N265" i="34" s="1"/>
  <c r="M273" i="34"/>
  <c r="N273" i="34" s="1"/>
  <c r="M281" i="34"/>
  <c r="N281" i="34" s="1"/>
  <c r="M289" i="34"/>
  <c r="N289" i="34" s="1"/>
  <c r="M297" i="34"/>
  <c r="N297" i="34" s="1"/>
  <c r="M305" i="34"/>
  <c r="N305" i="34" s="1"/>
  <c r="M313" i="34"/>
  <c r="N313" i="34" s="1"/>
  <c r="M321" i="34"/>
  <c r="N321" i="34" s="1"/>
  <c r="M329" i="34"/>
  <c r="N329" i="34" s="1"/>
  <c r="M337" i="34"/>
  <c r="N337" i="34" s="1"/>
  <c r="M345" i="34"/>
  <c r="N345" i="34" s="1"/>
  <c r="M353" i="34"/>
  <c r="N353" i="34" s="1"/>
  <c r="M361" i="34"/>
  <c r="N361" i="34" s="1"/>
  <c r="M369" i="34"/>
  <c r="N369" i="34" s="1"/>
  <c r="M377" i="34"/>
  <c r="N377" i="34" s="1"/>
  <c r="M385" i="34"/>
  <c r="N385" i="34" s="1"/>
  <c r="M393" i="34"/>
  <c r="N393" i="34" s="1"/>
  <c r="M401" i="34"/>
  <c r="N401" i="34" s="1"/>
  <c r="M409" i="34"/>
  <c r="N409" i="34" s="1"/>
  <c r="M417" i="34"/>
  <c r="N417" i="34" s="1"/>
  <c r="M425" i="34"/>
  <c r="N425" i="34" s="1"/>
  <c r="M235" i="34"/>
  <c r="N235" i="34" s="1"/>
  <c r="M299" i="34"/>
  <c r="N299" i="34" s="1"/>
  <c r="M331" i="34"/>
  <c r="N331" i="34" s="1"/>
  <c r="M347" i="34"/>
  <c r="N347" i="34" s="1"/>
  <c r="M371" i="34"/>
  <c r="N371" i="34" s="1"/>
  <c r="M387" i="34"/>
  <c r="N387" i="34" s="1"/>
  <c r="M411" i="34"/>
  <c r="N411" i="34" s="1"/>
  <c r="M234" i="34"/>
  <c r="N234" i="34" s="1"/>
  <c r="M242" i="34"/>
  <c r="N242" i="34" s="1"/>
  <c r="M250" i="34"/>
  <c r="N250" i="34" s="1"/>
  <c r="M258" i="34"/>
  <c r="N258" i="34" s="1"/>
  <c r="M266" i="34"/>
  <c r="N266" i="34" s="1"/>
  <c r="M274" i="34"/>
  <c r="N274" i="34" s="1"/>
  <c r="M282" i="34"/>
  <c r="N282" i="34" s="1"/>
  <c r="M290" i="34"/>
  <c r="N290" i="34" s="1"/>
  <c r="M298" i="34"/>
  <c r="N298" i="34" s="1"/>
  <c r="M306" i="34"/>
  <c r="N306" i="34" s="1"/>
  <c r="M314" i="34"/>
  <c r="N314" i="34" s="1"/>
  <c r="M322" i="34"/>
  <c r="N322" i="34" s="1"/>
  <c r="M330" i="34"/>
  <c r="N330" i="34" s="1"/>
  <c r="M338" i="34"/>
  <c r="N338" i="34" s="1"/>
  <c r="M346" i="34"/>
  <c r="N346" i="34" s="1"/>
  <c r="M354" i="34"/>
  <c r="N354" i="34" s="1"/>
  <c r="M362" i="34"/>
  <c r="N362" i="34" s="1"/>
  <c r="M370" i="34"/>
  <c r="N370" i="34" s="1"/>
  <c r="M378" i="34"/>
  <c r="N378" i="34" s="1"/>
  <c r="M386" i="34"/>
  <c r="N386" i="34" s="1"/>
  <c r="M394" i="34"/>
  <c r="N394" i="34" s="1"/>
  <c r="M402" i="34"/>
  <c r="N402" i="34" s="1"/>
  <c r="M410" i="34"/>
  <c r="N410" i="34" s="1"/>
  <c r="M418" i="34"/>
  <c r="N418" i="34" s="1"/>
  <c r="M426" i="34"/>
  <c r="N426" i="34" s="1"/>
  <c r="M243" i="34"/>
  <c r="N243" i="34" s="1"/>
  <c r="M251" i="34"/>
  <c r="N251" i="34" s="1"/>
  <c r="M259" i="34"/>
  <c r="N259" i="34" s="1"/>
  <c r="M267" i="34"/>
  <c r="N267" i="34" s="1"/>
  <c r="M275" i="34"/>
  <c r="N275" i="34" s="1"/>
  <c r="M283" i="34"/>
  <c r="N283" i="34" s="1"/>
  <c r="M291" i="34"/>
  <c r="N291" i="34" s="1"/>
  <c r="M307" i="34"/>
  <c r="N307" i="34" s="1"/>
  <c r="M315" i="34"/>
  <c r="N315" i="34" s="1"/>
  <c r="M323" i="34"/>
  <c r="N323" i="34" s="1"/>
  <c r="M339" i="34"/>
  <c r="N339" i="34" s="1"/>
  <c r="M355" i="34"/>
  <c r="N355" i="34" s="1"/>
  <c r="M363" i="34"/>
  <c r="N363" i="34" s="1"/>
  <c r="M379" i="34"/>
  <c r="N379" i="34" s="1"/>
  <c r="M395" i="34"/>
  <c r="N395" i="34" s="1"/>
  <c r="M403" i="34"/>
  <c r="N403" i="34" s="1"/>
  <c r="M419" i="34"/>
  <c r="N419" i="34" s="1"/>
  <c r="M427" i="34"/>
  <c r="N427" i="34" s="1"/>
  <c r="M237" i="34"/>
  <c r="N237" i="34" s="1"/>
  <c r="M245" i="34"/>
  <c r="N245" i="34" s="1"/>
  <c r="M253" i="34"/>
  <c r="N253" i="34" s="1"/>
  <c r="M261" i="34"/>
  <c r="N261" i="34" s="1"/>
  <c r="M269" i="34"/>
  <c r="N269" i="34" s="1"/>
  <c r="M277" i="34"/>
  <c r="N277" i="34" s="1"/>
  <c r="M285" i="34"/>
  <c r="N285" i="34" s="1"/>
  <c r="M293" i="34"/>
  <c r="N293" i="34" s="1"/>
  <c r="M301" i="34"/>
  <c r="N301" i="34" s="1"/>
  <c r="M309" i="34"/>
  <c r="N309" i="34" s="1"/>
  <c r="M317" i="34"/>
  <c r="N317" i="34" s="1"/>
  <c r="M325" i="34"/>
  <c r="N325" i="34" s="1"/>
  <c r="M333" i="34"/>
  <c r="N333" i="34" s="1"/>
  <c r="M341" i="34"/>
  <c r="N341" i="34" s="1"/>
  <c r="M349" i="34"/>
  <c r="N349" i="34" s="1"/>
  <c r="M357" i="34"/>
  <c r="N357" i="34" s="1"/>
  <c r="M365" i="34"/>
  <c r="N365" i="34" s="1"/>
  <c r="M373" i="34"/>
  <c r="N373" i="34" s="1"/>
  <c r="M381" i="34"/>
  <c r="N381" i="34" s="1"/>
  <c r="M389" i="34"/>
  <c r="N389" i="34" s="1"/>
  <c r="M397" i="34"/>
  <c r="N397" i="34" s="1"/>
  <c r="M405" i="34"/>
  <c r="N405" i="34" s="1"/>
  <c r="M413" i="34"/>
  <c r="N413" i="34" s="1"/>
  <c r="M421" i="34"/>
  <c r="N421" i="34" s="1"/>
  <c r="M429" i="34"/>
  <c r="N429" i="34" s="1"/>
  <c r="M238" i="34"/>
  <c r="N238" i="34" s="1"/>
  <c r="M246" i="34"/>
  <c r="N246" i="34" s="1"/>
  <c r="M254" i="34"/>
  <c r="N254" i="34" s="1"/>
  <c r="M262" i="34"/>
  <c r="N262" i="34" s="1"/>
  <c r="M270" i="34"/>
  <c r="N270" i="34" s="1"/>
  <c r="M278" i="34"/>
  <c r="N278" i="34" s="1"/>
  <c r="M286" i="34"/>
  <c r="N286" i="34" s="1"/>
  <c r="M294" i="34"/>
  <c r="N294" i="34" s="1"/>
  <c r="M302" i="34"/>
  <c r="N302" i="34" s="1"/>
  <c r="M310" i="34"/>
  <c r="N310" i="34" s="1"/>
  <c r="M318" i="34"/>
  <c r="N318" i="34" s="1"/>
  <c r="M239" i="34"/>
  <c r="N239" i="34" s="1"/>
  <c r="M260" i="34"/>
  <c r="N260" i="34" s="1"/>
  <c r="M280" i="34"/>
  <c r="N280" i="34" s="1"/>
  <c r="M303" i="34"/>
  <c r="N303" i="34" s="1"/>
  <c r="M324" i="34"/>
  <c r="N324" i="34" s="1"/>
  <c r="M340" i="34"/>
  <c r="N340" i="34" s="1"/>
  <c r="M356" i="34"/>
  <c r="N356" i="34" s="1"/>
  <c r="M372" i="34"/>
  <c r="N372" i="34" s="1"/>
  <c r="M388" i="34"/>
  <c r="N388" i="34" s="1"/>
  <c r="M404" i="34"/>
  <c r="N404" i="34" s="1"/>
  <c r="M420" i="34"/>
  <c r="N420" i="34" s="1"/>
  <c r="M312" i="34"/>
  <c r="N312" i="34" s="1"/>
  <c r="M380" i="34"/>
  <c r="N380" i="34" s="1"/>
  <c r="M252" i="34"/>
  <c r="N252" i="34" s="1"/>
  <c r="M334" i="34"/>
  <c r="N334" i="34" s="1"/>
  <c r="M382" i="34"/>
  <c r="N382" i="34" s="1"/>
  <c r="M430" i="34"/>
  <c r="N430" i="34" s="1"/>
  <c r="M255" i="34"/>
  <c r="N255" i="34" s="1"/>
  <c r="M367" i="34"/>
  <c r="N367" i="34" s="1"/>
  <c r="M431" i="34"/>
  <c r="N431" i="34" s="1"/>
  <c r="M256" i="34"/>
  <c r="N256" i="34" s="1"/>
  <c r="M320" i="34"/>
  <c r="N320" i="34" s="1"/>
  <c r="M352" i="34"/>
  <c r="N352" i="34" s="1"/>
  <c r="M400" i="34"/>
  <c r="N400" i="34" s="1"/>
  <c r="M240" i="34"/>
  <c r="N240" i="34" s="1"/>
  <c r="M263" i="34"/>
  <c r="N263" i="34" s="1"/>
  <c r="M284" i="34"/>
  <c r="N284" i="34" s="1"/>
  <c r="M304" i="34"/>
  <c r="N304" i="34" s="1"/>
  <c r="M326" i="34"/>
  <c r="N326" i="34" s="1"/>
  <c r="M342" i="34"/>
  <c r="N342" i="34" s="1"/>
  <c r="M358" i="34"/>
  <c r="N358" i="34" s="1"/>
  <c r="M374" i="34"/>
  <c r="N374" i="34" s="1"/>
  <c r="M390" i="34"/>
  <c r="N390" i="34" s="1"/>
  <c r="M406" i="34"/>
  <c r="N406" i="34" s="1"/>
  <c r="M422" i="34"/>
  <c r="N422" i="34" s="1"/>
  <c r="M271" i="34"/>
  <c r="N271" i="34" s="1"/>
  <c r="M348" i="34"/>
  <c r="N348" i="34" s="1"/>
  <c r="M396" i="34"/>
  <c r="N396" i="34" s="1"/>
  <c r="M272" i="34"/>
  <c r="N272" i="34" s="1"/>
  <c r="M366" i="34"/>
  <c r="N366" i="34" s="1"/>
  <c r="M232" i="34"/>
  <c r="N232" i="34" s="1"/>
  <c r="M319" i="34"/>
  <c r="N319" i="34" s="1"/>
  <c r="M351" i="34"/>
  <c r="N351" i="34" s="1"/>
  <c r="M399" i="34"/>
  <c r="N399" i="34" s="1"/>
  <c r="M336" i="34"/>
  <c r="N336" i="34" s="1"/>
  <c r="M244" i="34"/>
  <c r="N244" i="34" s="1"/>
  <c r="M264" i="34"/>
  <c r="N264" i="34" s="1"/>
  <c r="M287" i="34"/>
  <c r="N287" i="34" s="1"/>
  <c r="M308" i="34"/>
  <c r="N308" i="34" s="1"/>
  <c r="M327" i="34"/>
  <c r="N327" i="34" s="1"/>
  <c r="M343" i="34"/>
  <c r="N343" i="34" s="1"/>
  <c r="M359" i="34"/>
  <c r="N359" i="34" s="1"/>
  <c r="M375" i="34"/>
  <c r="N375" i="34" s="1"/>
  <c r="M391" i="34"/>
  <c r="N391" i="34" s="1"/>
  <c r="M407" i="34"/>
  <c r="N407" i="34" s="1"/>
  <c r="M423" i="34"/>
  <c r="N423" i="34" s="1"/>
  <c r="M248" i="34"/>
  <c r="N248" i="34" s="1"/>
  <c r="M292" i="34"/>
  <c r="N292" i="34" s="1"/>
  <c r="M364" i="34"/>
  <c r="N364" i="34" s="1"/>
  <c r="M428" i="34"/>
  <c r="N428" i="34" s="1"/>
  <c r="M295" i="34"/>
  <c r="N295" i="34" s="1"/>
  <c r="M350" i="34"/>
  <c r="N350" i="34" s="1"/>
  <c r="M414" i="34"/>
  <c r="N414" i="34" s="1"/>
  <c r="M276" i="34"/>
  <c r="N276" i="34" s="1"/>
  <c r="M335" i="34"/>
  <c r="N335" i="34" s="1"/>
  <c r="M415" i="34"/>
  <c r="N415" i="34" s="1"/>
  <c r="M236" i="34"/>
  <c r="N236" i="34" s="1"/>
  <c r="M300" i="34"/>
  <c r="N300" i="34" s="1"/>
  <c r="M368" i="34"/>
  <c r="N368" i="34" s="1"/>
  <c r="M416" i="34"/>
  <c r="N416" i="34" s="1"/>
  <c r="M247" i="34"/>
  <c r="N247" i="34" s="1"/>
  <c r="M268" i="34"/>
  <c r="N268" i="34" s="1"/>
  <c r="M288" i="34"/>
  <c r="N288" i="34" s="1"/>
  <c r="M311" i="34"/>
  <c r="N311" i="34" s="1"/>
  <c r="M328" i="34"/>
  <c r="N328" i="34" s="1"/>
  <c r="M344" i="34"/>
  <c r="N344" i="34" s="1"/>
  <c r="M360" i="34"/>
  <c r="N360" i="34" s="1"/>
  <c r="M376" i="34"/>
  <c r="N376" i="34" s="1"/>
  <c r="M392" i="34"/>
  <c r="N392" i="34" s="1"/>
  <c r="M408" i="34"/>
  <c r="N408" i="34" s="1"/>
  <c r="M424" i="34"/>
  <c r="N424" i="34" s="1"/>
  <c r="M332" i="34"/>
  <c r="N332" i="34" s="1"/>
  <c r="M412" i="34"/>
  <c r="N412" i="34" s="1"/>
  <c r="M316" i="34"/>
  <c r="N316" i="34" s="1"/>
  <c r="M398" i="34"/>
  <c r="N398" i="34" s="1"/>
  <c r="M296" i="34"/>
  <c r="N296" i="34" s="1"/>
  <c r="M383" i="34"/>
  <c r="N383" i="34" s="1"/>
  <c r="M279" i="34"/>
  <c r="N279" i="34" s="1"/>
  <c r="M384" i="34"/>
  <c r="N384" i="34" s="1"/>
  <c r="M155" i="34"/>
  <c r="N155" i="34" s="1"/>
  <c r="M154" i="34"/>
  <c r="N154" i="34" s="1"/>
  <c r="M146" i="34"/>
  <c r="N146" i="34" s="1"/>
  <c r="M169" i="34"/>
  <c r="N169" i="34" s="1"/>
  <c r="M201" i="34"/>
  <c r="N201" i="34" s="1"/>
  <c r="M185" i="34"/>
  <c r="N185" i="34" s="1"/>
  <c r="M163" i="34"/>
  <c r="N163" i="34" s="1"/>
  <c r="M145" i="34"/>
  <c r="N145" i="34" s="1"/>
  <c r="M144" i="34"/>
  <c r="N144" i="34" s="1"/>
  <c r="M176" i="34"/>
  <c r="N176" i="34" s="1"/>
  <c r="M168" i="34"/>
  <c r="N168" i="34" s="1"/>
  <c r="M160" i="34"/>
  <c r="N160" i="34" s="1"/>
  <c r="M207" i="34"/>
  <c r="N207" i="34" s="1"/>
  <c r="M191" i="34"/>
  <c r="N191" i="34" s="1"/>
  <c r="M175" i="34"/>
  <c r="N175" i="34" s="1"/>
  <c r="M167" i="34"/>
  <c r="N167" i="34" s="1"/>
  <c r="M159" i="34"/>
  <c r="N159" i="34" s="1"/>
  <c r="M151" i="34"/>
  <c r="N151" i="34" s="1"/>
  <c r="M143" i="34"/>
  <c r="N143" i="34" s="1"/>
  <c r="M152" i="34"/>
  <c r="N152" i="34" s="1"/>
  <c r="M231" i="34"/>
  <c r="N231" i="34" s="1"/>
  <c r="M223" i="34"/>
  <c r="N223" i="34" s="1"/>
  <c r="M215" i="34"/>
  <c r="N215" i="34" s="1"/>
  <c r="M199" i="34"/>
  <c r="N199" i="34" s="1"/>
  <c r="M183" i="34"/>
  <c r="N183" i="34" s="1"/>
  <c r="M230" i="34"/>
  <c r="N230" i="34" s="1"/>
  <c r="M222" i="34"/>
  <c r="N222" i="34" s="1"/>
  <c r="M214" i="34"/>
  <c r="N214" i="34" s="1"/>
  <c r="M206" i="34"/>
  <c r="N206" i="34" s="1"/>
  <c r="M198" i="34"/>
  <c r="N198" i="34" s="1"/>
  <c r="M190" i="34"/>
  <c r="N190" i="34" s="1"/>
  <c r="M182" i="34"/>
  <c r="N182" i="34" s="1"/>
  <c r="M174" i="34"/>
  <c r="N174" i="34" s="1"/>
  <c r="M166" i="34"/>
  <c r="N166" i="34" s="1"/>
  <c r="M158" i="34"/>
  <c r="N158" i="34" s="1"/>
  <c r="M150" i="34"/>
  <c r="N150" i="34" s="1"/>
  <c r="M142" i="34"/>
  <c r="N142" i="34" s="1"/>
  <c r="M197" i="34"/>
  <c r="N197" i="34" s="1"/>
  <c r="M189" i="34"/>
  <c r="N189" i="34" s="1"/>
  <c r="M181" i="34"/>
  <c r="N181" i="34" s="1"/>
  <c r="M173" i="34"/>
  <c r="N173" i="34" s="1"/>
  <c r="M165" i="34"/>
  <c r="N165" i="34" s="1"/>
  <c r="M157" i="34"/>
  <c r="N157" i="34" s="1"/>
  <c r="M149" i="34"/>
  <c r="N149" i="34" s="1"/>
  <c r="M228" i="34"/>
  <c r="N228" i="34" s="1"/>
  <c r="M220" i="34"/>
  <c r="N220" i="34" s="1"/>
  <c r="M212" i="34"/>
  <c r="N212" i="34" s="1"/>
  <c r="M204" i="34"/>
  <c r="N204" i="34" s="1"/>
  <c r="M196" i="34"/>
  <c r="N196" i="34" s="1"/>
  <c r="M188" i="34"/>
  <c r="N188" i="34" s="1"/>
  <c r="M180" i="34"/>
  <c r="N180" i="34" s="1"/>
  <c r="M172" i="34"/>
  <c r="N172" i="34" s="1"/>
  <c r="M164" i="34"/>
  <c r="N164" i="34" s="1"/>
  <c r="M156" i="34"/>
  <c r="N156" i="34" s="1"/>
  <c r="M148" i="34"/>
  <c r="N148" i="34" s="1"/>
  <c r="E87" i="34"/>
  <c r="F87" i="34" s="1"/>
  <c r="E93" i="34"/>
  <c r="F93" i="34" s="1"/>
  <c r="E101" i="34"/>
  <c r="F101" i="34" s="1"/>
  <c r="E83" i="34"/>
  <c r="F83" i="34" s="1"/>
  <c r="E94" i="34"/>
  <c r="F94" i="34" s="1"/>
  <c r="E76" i="34"/>
  <c r="F76" i="34" s="1"/>
  <c r="E84" i="34"/>
  <c r="F84" i="34" s="1"/>
  <c r="E95" i="34"/>
  <c r="F95" i="34" s="1"/>
  <c r="E77" i="34"/>
  <c r="F77" i="34" s="1"/>
  <c r="E78" i="34"/>
  <c r="F78" i="34" s="1"/>
  <c r="E85" i="34"/>
  <c r="F85" i="34" s="1"/>
  <c r="E86" i="34"/>
  <c r="F86" i="34" s="1"/>
  <c r="E88" i="34"/>
  <c r="F88" i="34" s="1"/>
  <c r="E97" i="34"/>
  <c r="F97" i="34" s="1"/>
  <c r="E79" i="34"/>
  <c r="F79" i="34" s="1"/>
  <c r="E98" i="34"/>
  <c r="F98" i="34" s="1"/>
  <c r="E80" i="34"/>
  <c r="F80" i="34" s="1"/>
  <c r="E99" i="34"/>
  <c r="F99" i="34" s="1"/>
  <c r="E81" i="34"/>
  <c r="F81" i="34" s="1"/>
  <c r="E100" i="34"/>
  <c r="F100" i="34" s="1"/>
  <c r="E82" i="34"/>
  <c r="F82" i="34" s="1"/>
  <c r="E96" i="34"/>
  <c r="F96" i="34" s="1"/>
  <c r="E90" i="34"/>
  <c r="F90" i="34" s="1"/>
  <c r="E91" i="34"/>
  <c r="F91" i="34" s="1"/>
  <c r="E92" i="34"/>
  <c r="F92" i="34" s="1"/>
  <c r="M31" i="34"/>
  <c r="N31" i="34" s="1"/>
  <c r="M32" i="34"/>
  <c r="N32" i="34" s="1"/>
  <c r="M33" i="34"/>
  <c r="N33" i="34" s="1"/>
  <c r="M34" i="34"/>
  <c r="N34" i="34" s="1"/>
  <c r="M35" i="34"/>
  <c r="N35" i="34" s="1"/>
  <c r="M36" i="34"/>
  <c r="N36" i="34" s="1"/>
  <c r="M37" i="34"/>
  <c r="N37" i="34" s="1"/>
  <c r="M38" i="34"/>
  <c r="N38" i="34" s="1"/>
  <c r="M39" i="34"/>
  <c r="N39" i="34" s="1"/>
  <c r="M40" i="34"/>
  <c r="N40" i="34" s="1"/>
  <c r="M41" i="34"/>
  <c r="N41" i="34" s="1"/>
  <c r="M42" i="34"/>
  <c r="N42" i="34" s="1"/>
  <c r="M43" i="34"/>
  <c r="N43" i="34" s="1"/>
  <c r="M44" i="34"/>
  <c r="N44" i="34" s="1"/>
  <c r="M45" i="34"/>
  <c r="N45" i="34" s="1"/>
  <c r="M46" i="34"/>
  <c r="N46" i="34" s="1"/>
  <c r="M47" i="34"/>
  <c r="N47" i="34" s="1"/>
  <c r="M48" i="34"/>
  <c r="N48" i="34" s="1"/>
  <c r="M49" i="34"/>
  <c r="N49" i="34" s="1"/>
  <c r="M50" i="34"/>
  <c r="N50" i="34" s="1"/>
  <c r="M51" i="34"/>
  <c r="N51" i="34" s="1"/>
  <c r="M52" i="34"/>
  <c r="N52" i="34" s="1"/>
  <c r="M53" i="34"/>
  <c r="N53" i="34" s="1"/>
  <c r="M54" i="34"/>
  <c r="N54" i="34" s="1"/>
  <c r="M55" i="34"/>
  <c r="N55" i="34" s="1"/>
  <c r="M56" i="34"/>
  <c r="N56" i="34" s="1"/>
  <c r="M57" i="34"/>
  <c r="N57" i="34" s="1"/>
  <c r="M58" i="34"/>
  <c r="N58" i="34" s="1"/>
  <c r="M59" i="34"/>
  <c r="N59" i="34" s="1"/>
  <c r="M60" i="34"/>
  <c r="N60" i="34" s="1"/>
  <c r="M61" i="34"/>
  <c r="N61" i="34" s="1"/>
  <c r="M62" i="34"/>
  <c r="N62" i="34" s="1"/>
  <c r="M63" i="34"/>
  <c r="N63" i="34" s="1"/>
  <c r="M64" i="34"/>
  <c r="N64" i="34" s="1"/>
  <c r="M65" i="34"/>
  <c r="N65" i="34" s="1"/>
  <c r="M66" i="34"/>
  <c r="N66" i="34" s="1"/>
  <c r="M67" i="34"/>
  <c r="N67" i="34" s="1"/>
  <c r="M68" i="34"/>
  <c r="N68" i="34" s="1"/>
  <c r="M69" i="34"/>
  <c r="N69" i="34" s="1"/>
  <c r="M70" i="34"/>
  <c r="N70" i="34" s="1"/>
  <c r="M71" i="34"/>
  <c r="N71" i="34" s="1"/>
  <c r="M72" i="34"/>
  <c r="N72" i="34" s="1"/>
  <c r="M73" i="34"/>
  <c r="N73" i="34" s="1"/>
  <c r="M74" i="34"/>
  <c r="N74" i="34" s="1"/>
  <c r="M75" i="34"/>
  <c r="N75" i="34" s="1"/>
  <c r="M76" i="34"/>
  <c r="N76" i="34" s="1"/>
  <c r="M77" i="34"/>
  <c r="N77" i="34" s="1"/>
  <c r="M78" i="34"/>
  <c r="N78" i="34" s="1"/>
  <c r="M79" i="34"/>
  <c r="N79" i="34" s="1"/>
  <c r="M80" i="34"/>
  <c r="N80" i="34" s="1"/>
  <c r="M81" i="34"/>
  <c r="N81" i="34" s="1"/>
  <c r="M82" i="34"/>
  <c r="N82" i="34" s="1"/>
  <c r="M83" i="34"/>
  <c r="N83" i="34" s="1"/>
  <c r="M84" i="34"/>
  <c r="N84" i="34" s="1"/>
  <c r="M85" i="34"/>
  <c r="N85" i="34" s="1"/>
  <c r="M86" i="34"/>
  <c r="N86" i="34" s="1"/>
  <c r="M87" i="34"/>
  <c r="N87" i="34" s="1"/>
  <c r="M88" i="34"/>
  <c r="N88" i="34" s="1"/>
  <c r="M89" i="34"/>
  <c r="N89" i="34" s="1"/>
  <c r="M90" i="34"/>
  <c r="N90" i="34" s="1"/>
  <c r="M91" i="34"/>
  <c r="N91" i="34" s="1"/>
  <c r="M92" i="34"/>
  <c r="N92" i="34" s="1"/>
  <c r="M93" i="34"/>
  <c r="N93" i="34" s="1"/>
  <c r="M94" i="34"/>
  <c r="N94" i="34" s="1"/>
  <c r="M95" i="34"/>
  <c r="N95" i="34" s="1"/>
  <c r="M96" i="34"/>
  <c r="N96" i="34" s="1"/>
  <c r="M97" i="34"/>
  <c r="N97" i="34" s="1"/>
  <c r="M98" i="34"/>
  <c r="N98" i="34" s="1"/>
  <c r="M99" i="34"/>
  <c r="N99" i="34" s="1"/>
  <c r="M100" i="34"/>
  <c r="N100" i="34" s="1"/>
  <c r="M101" i="34"/>
  <c r="N101" i="34" s="1"/>
  <c r="M102" i="34"/>
  <c r="N102" i="34" s="1"/>
  <c r="M103" i="34"/>
  <c r="N103" i="34" s="1"/>
  <c r="M104" i="34"/>
  <c r="N104" i="34" s="1"/>
  <c r="M105" i="34"/>
  <c r="N105" i="34" s="1"/>
  <c r="M106" i="34"/>
  <c r="N106" i="34" s="1"/>
  <c r="M107" i="34"/>
  <c r="N107" i="34" s="1"/>
  <c r="M108" i="34"/>
  <c r="N108" i="34" s="1"/>
  <c r="M109" i="34"/>
  <c r="N109" i="34" s="1"/>
  <c r="M110" i="34"/>
  <c r="N110" i="34" s="1"/>
  <c r="M111" i="34"/>
  <c r="N111" i="34" s="1"/>
  <c r="M112" i="34"/>
  <c r="N112" i="34" s="1"/>
  <c r="M113" i="34"/>
  <c r="N113" i="34" s="1"/>
  <c r="M114" i="34"/>
  <c r="N114" i="34" s="1"/>
  <c r="M115" i="34"/>
  <c r="N115" i="34" s="1"/>
  <c r="M116" i="34"/>
  <c r="N116" i="34" s="1"/>
  <c r="M117" i="34"/>
  <c r="N117" i="34" s="1"/>
  <c r="M118" i="34"/>
  <c r="N118" i="34" s="1"/>
  <c r="M119" i="34"/>
  <c r="N119" i="34" s="1"/>
  <c r="M120" i="34"/>
  <c r="N120" i="34" s="1"/>
  <c r="M121" i="34"/>
  <c r="N121" i="34" s="1"/>
  <c r="M122" i="34"/>
  <c r="N122" i="34" s="1"/>
  <c r="M123" i="34"/>
  <c r="N123" i="34" s="1"/>
  <c r="M124" i="34"/>
  <c r="N124" i="34" s="1"/>
  <c r="M125" i="34"/>
  <c r="N125" i="34" s="1"/>
  <c r="M126" i="34"/>
  <c r="N126" i="34" s="1"/>
  <c r="M127" i="34"/>
  <c r="N127" i="34" s="1"/>
  <c r="M128" i="34"/>
  <c r="N128" i="34" s="1"/>
  <c r="M129" i="34"/>
  <c r="N129" i="34" s="1"/>
  <c r="M130" i="34"/>
  <c r="N130" i="34" s="1"/>
  <c r="M131" i="34"/>
  <c r="N131" i="34" s="1"/>
  <c r="M132" i="34"/>
  <c r="N132" i="34" s="1"/>
  <c r="M133" i="34"/>
  <c r="N133" i="34" s="1"/>
  <c r="M134" i="34"/>
  <c r="N134" i="34" s="1"/>
  <c r="M135" i="34"/>
  <c r="N135" i="34" s="1"/>
  <c r="M136" i="34"/>
  <c r="N136" i="34" s="1"/>
  <c r="M137" i="34"/>
  <c r="N137" i="34" s="1"/>
  <c r="M138" i="34"/>
  <c r="N138" i="34" s="1"/>
  <c r="M139" i="34"/>
  <c r="N139" i="34" s="1"/>
  <c r="M140" i="34"/>
  <c r="N140" i="34" s="1"/>
  <c r="M141" i="34"/>
  <c r="N141" i="34" s="1"/>
  <c r="E42" i="34"/>
  <c r="F42" i="34" s="1"/>
  <c r="E43" i="34"/>
  <c r="F43" i="34" s="1"/>
  <c r="E44" i="34"/>
  <c r="F44" i="34" s="1"/>
  <c r="E45" i="34"/>
  <c r="F45" i="34" s="1"/>
  <c r="E46" i="34"/>
  <c r="F46" i="34" s="1"/>
  <c r="E47" i="34"/>
  <c r="F47" i="34" s="1"/>
  <c r="E48" i="34"/>
  <c r="F48" i="34" s="1"/>
  <c r="E49" i="34"/>
  <c r="F49" i="34" s="1"/>
  <c r="E50" i="34"/>
  <c r="F50" i="34" s="1"/>
  <c r="E51" i="34"/>
  <c r="F51" i="34" s="1"/>
  <c r="E52" i="34"/>
  <c r="F52" i="34" s="1"/>
  <c r="E53" i="34"/>
  <c r="F53" i="34" s="1"/>
  <c r="E54" i="34"/>
  <c r="F54" i="34" s="1"/>
  <c r="E55" i="34"/>
  <c r="F55" i="34" s="1"/>
  <c r="E56" i="34"/>
  <c r="F56" i="34" s="1"/>
  <c r="E57" i="34"/>
  <c r="F57" i="34" s="1"/>
  <c r="E58" i="34"/>
  <c r="F58" i="34" s="1"/>
  <c r="E59" i="34"/>
  <c r="F59" i="34" s="1"/>
  <c r="E60" i="34"/>
  <c r="F60" i="34" s="1"/>
  <c r="E61" i="34"/>
  <c r="F61" i="34" s="1"/>
  <c r="E62" i="34"/>
  <c r="F62" i="34" s="1"/>
  <c r="E63" i="34"/>
  <c r="F63" i="34" s="1"/>
  <c r="E64" i="34"/>
  <c r="F64" i="34" s="1"/>
  <c r="E65" i="34"/>
  <c r="F65" i="34" s="1"/>
  <c r="E66" i="34"/>
  <c r="F66" i="34" s="1"/>
  <c r="E67" i="34"/>
  <c r="F67" i="34" s="1"/>
  <c r="E68" i="34"/>
  <c r="F68" i="34" s="1"/>
  <c r="E69" i="34"/>
  <c r="F69" i="34" s="1"/>
  <c r="E70" i="34"/>
  <c r="F70" i="34" s="1"/>
  <c r="E71" i="34"/>
  <c r="F71" i="34" s="1"/>
  <c r="E31" i="34"/>
  <c r="F31" i="34" s="1"/>
  <c r="E32" i="34"/>
  <c r="F32" i="34" s="1"/>
  <c r="E33" i="34"/>
  <c r="F33" i="34" s="1"/>
  <c r="E34" i="34"/>
  <c r="F34" i="34" s="1"/>
  <c r="E35" i="34"/>
  <c r="F35" i="34" s="1"/>
  <c r="E36" i="34"/>
  <c r="F36" i="34" s="1"/>
  <c r="E37" i="34"/>
  <c r="F37" i="34" s="1"/>
  <c r="E38" i="34"/>
  <c r="F38" i="34" s="1"/>
  <c r="E39" i="34"/>
  <c r="F39" i="34" s="1"/>
  <c r="E40" i="34"/>
  <c r="F40" i="34" s="1"/>
  <c r="E41" i="34"/>
  <c r="F41" i="34" s="1"/>
  <c r="H30" i="32"/>
  <c r="T11" i="32"/>
  <c r="T10" i="32"/>
  <c r="I9" i="22"/>
  <c r="J9" i="22"/>
  <c r="J22" i="22" s="1"/>
  <c r="K9" i="22"/>
  <c r="K16" i="22" s="1"/>
  <c r="N9" i="22"/>
  <c r="N17" i="22" s="1"/>
  <c r="O9" i="22"/>
  <c r="O29" i="22" s="1"/>
  <c r="P9" i="22"/>
  <c r="P44" i="22" s="1"/>
  <c r="Q9" i="22"/>
  <c r="Q13" i="22" s="1"/>
  <c r="I12" i="22"/>
  <c r="I16" i="22"/>
  <c r="J18" i="22"/>
  <c r="I21" i="22"/>
  <c r="J24" i="22"/>
  <c r="I27" i="22"/>
  <c r="J27" i="22"/>
  <c r="J29" i="22"/>
  <c r="J30" i="22"/>
  <c r="J31" i="22"/>
  <c r="I34" i="22"/>
  <c r="J35" i="22"/>
  <c r="J36" i="22"/>
  <c r="J39" i="22"/>
  <c r="I42" i="22"/>
  <c r="J42" i="22"/>
  <c r="J44" i="22"/>
  <c r="J45" i="22"/>
  <c r="J46" i="22"/>
  <c r="J48" i="22"/>
  <c r="I51" i="22"/>
  <c r="J51" i="22"/>
  <c r="J54" i="22"/>
  <c r="J55" i="22"/>
  <c r="J58" i="22"/>
  <c r="I61" i="22"/>
  <c r="J61" i="22"/>
  <c r="J63" i="22"/>
  <c r="J64" i="22"/>
  <c r="J65" i="22"/>
  <c r="J67" i="22"/>
  <c r="J68" i="22"/>
  <c r="J69" i="22"/>
  <c r="I72" i="22"/>
  <c r="J73" i="22"/>
  <c r="J74" i="22"/>
  <c r="J77" i="22"/>
  <c r="J78" i="22"/>
  <c r="J81" i="22"/>
  <c r="I85" i="22"/>
  <c r="J85" i="22"/>
  <c r="J87" i="22"/>
  <c r="J88" i="22"/>
  <c r="J89" i="22"/>
  <c r="J91" i="22"/>
  <c r="K91" i="22"/>
  <c r="J92" i="22"/>
  <c r="J93" i="22"/>
  <c r="J95" i="22"/>
  <c r="J96" i="22"/>
  <c r="J97" i="22"/>
  <c r="J99" i="22"/>
  <c r="J100" i="22"/>
  <c r="J103" i="22"/>
  <c r="J104" i="22"/>
  <c r="J107" i="22"/>
  <c r="J108" i="22"/>
  <c r="J111" i="22"/>
  <c r="J112" i="22"/>
  <c r="H15" i="36" l="1"/>
  <c r="D24" i="36"/>
  <c r="D48" i="36"/>
  <c r="D39" i="36"/>
  <c r="D19" i="36"/>
  <c r="K112" i="22"/>
  <c r="K24" i="22"/>
  <c r="K68" i="22"/>
  <c r="K58" i="22"/>
  <c r="K35" i="22"/>
  <c r="K99" i="22"/>
  <c r="K107" i="22"/>
  <c r="K77" i="22"/>
  <c r="K44" i="22"/>
  <c r="K92" i="22"/>
  <c r="K18" i="22"/>
  <c r="K104" i="22"/>
  <c r="K87" i="22"/>
  <c r="K51" i="22"/>
  <c r="F51" i="22" s="1"/>
  <c r="G51" i="22" s="1"/>
  <c r="D58" i="36"/>
  <c r="E59" i="36"/>
  <c r="D59" i="36" s="1"/>
  <c r="E49" i="36"/>
  <c r="D49" i="36" s="1"/>
  <c r="D14" i="36"/>
  <c r="D69" i="36"/>
  <c r="F20" i="36"/>
  <c r="G20" i="36" s="1"/>
  <c r="I21" i="36"/>
  <c r="G15" i="36"/>
  <c r="E10" i="36"/>
  <c r="D10" i="36" s="1"/>
  <c r="I85" i="36"/>
  <c r="F84" i="36"/>
  <c r="G84" i="36" s="1"/>
  <c r="F26" i="36"/>
  <c r="G26" i="36" s="1"/>
  <c r="I27" i="36"/>
  <c r="H26" i="36"/>
  <c r="I72" i="36"/>
  <c r="F71" i="36"/>
  <c r="G71" i="36" s="1"/>
  <c r="I42" i="36"/>
  <c r="F41" i="36"/>
  <c r="G41" i="36" s="1"/>
  <c r="H84" i="36"/>
  <c r="E25" i="36"/>
  <c r="D25" i="36" s="1"/>
  <c r="A83" i="36"/>
  <c r="E83" i="36"/>
  <c r="D83" i="36" s="1"/>
  <c r="E40" i="36"/>
  <c r="D40" i="36" s="1"/>
  <c r="E70" i="36"/>
  <c r="D70" i="36" s="1"/>
  <c r="F33" i="36"/>
  <c r="G33" i="36" s="1"/>
  <c r="I34" i="36"/>
  <c r="F60" i="36"/>
  <c r="G60" i="36" s="1"/>
  <c r="I61" i="36"/>
  <c r="F50" i="36"/>
  <c r="G50" i="36" s="1"/>
  <c r="I51" i="36"/>
  <c r="E32" i="36"/>
  <c r="D32" i="36" s="1"/>
  <c r="D82" i="36"/>
  <c r="K74" i="22"/>
  <c r="K67" i="22"/>
  <c r="J16" i="22"/>
  <c r="K13" i="22"/>
  <c r="K96" i="22"/>
  <c r="K111" i="22"/>
  <c r="K103" i="22"/>
  <c r="K64" i="22"/>
  <c r="K55" i="22"/>
  <c r="K39" i="22"/>
  <c r="K30" i="22"/>
  <c r="K21" i="22"/>
  <c r="J13" i="22"/>
  <c r="K81" i="22"/>
  <c r="K48" i="22"/>
  <c r="K95" i="22"/>
  <c r="K88" i="22"/>
  <c r="K78" i="22"/>
  <c r="J21" i="22"/>
  <c r="K73" i="22"/>
  <c r="K108" i="22"/>
  <c r="K100" i="22"/>
  <c r="K63" i="22"/>
  <c r="K54" i="22"/>
  <c r="K45" i="22"/>
  <c r="K36" i="22"/>
  <c r="K29" i="22"/>
  <c r="K106" i="22"/>
  <c r="K76" i="22"/>
  <c r="K38" i="22"/>
  <c r="K23" i="22"/>
  <c r="J114" i="22"/>
  <c r="J110" i="22"/>
  <c r="J106" i="22"/>
  <c r="J102" i="22"/>
  <c r="J98" i="22"/>
  <c r="K94" i="22"/>
  <c r="K90" i="22"/>
  <c r="K86" i="22"/>
  <c r="J80" i="22"/>
  <c r="J76" i="22"/>
  <c r="J72" i="22"/>
  <c r="K66" i="22"/>
  <c r="K62" i="22"/>
  <c r="J57" i="22"/>
  <c r="J53" i="22"/>
  <c r="K47" i="22"/>
  <c r="K43" i="22"/>
  <c r="J38" i="22"/>
  <c r="J34" i="22"/>
  <c r="K28" i="22"/>
  <c r="J23" i="22"/>
  <c r="K17" i="22"/>
  <c r="J12" i="22"/>
  <c r="K110" i="22"/>
  <c r="K102" i="22"/>
  <c r="K72" i="22"/>
  <c r="K57" i="22"/>
  <c r="K12" i="22"/>
  <c r="F12" i="22" s="1"/>
  <c r="G12" i="22" s="1"/>
  <c r="K113" i="22"/>
  <c r="K109" i="22"/>
  <c r="K105" i="22"/>
  <c r="K101" i="22"/>
  <c r="O97" i="22"/>
  <c r="J94" i="22"/>
  <c r="J90" i="22"/>
  <c r="J86" i="22"/>
  <c r="K79" i="22"/>
  <c r="K75" i="22"/>
  <c r="J66" i="22"/>
  <c r="J62" i="22"/>
  <c r="K56" i="22"/>
  <c r="K52" i="22"/>
  <c r="J47" i="22"/>
  <c r="J43" i="22"/>
  <c r="K37" i="22"/>
  <c r="J28" i="22"/>
  <c r="K22" i="22"/>
  <c r="J17" i="22"/>
  <c r="K114" i="22"/>
  <c r="K98" i="22"/>
  <c r="K80" i="22"/>
  <c r="K53" i="22"/>
  <c r="K34" i="22"/>
  <c r="J113" i="22"/>
  <c r="J109" i="22"/>
  <c r="J105" i="22"/>
  <c r="J101" i="22"/>
  <c r="K97" i="22"/>
  <c r="K93" i="22"/>
  <c r="K89" i="22"/>
  <c r="K85" i="22"/>
  <c r="J79" i="22"/>
  <c r="J75" i="22"/>
  <c r="K69" i="22"/>
  <c r="K65" i="22"/>
  <c r="K61" i="22"/>
  <c r="J56" i="22"/>
  <c r="J52" i="22"/>
  <c r="K46" i="22"/>
  <c r="K42" i="22"/>
  <c r="F42" i="22" s="1"/>
  <c r="G42" i="22" s="1"/>
  <c r="J37" i="22"/>
  <c r="K31" i="22"/>
  <c r="K27" i="22"/>
  <c r="F27" i="22" s="1"/>
  <c r="G27" i="22" s="1"/>
  <c r="F61" i="22"/>
  <c r="G61" i="22" s="1"/>
  <c r="Q22" i="22"/>
  <c r="Q12" i="22"/>
  <c r="Q112" i="22"/>
  <c r="Q102" i="22"/>
  <c r="Q109" i="22"/>
  <c r="Q104" i="22"/>
  <c r="Q99" i="22"/>
  <c r="Q80" i="22"/>
  <c r="Q74" i="22"/>
  <c r="Q46" i="22"/>
  <c r="O27" i="22"/>
  <c r="Q114" i="22"/>
  <c r="Q106" i="22"/>
  <c r="O104" i="22"/>
  <c r="Q85" i="22"/>
  <c r="Q61" i="22"/>
  <c r="Q53" i="22"/>
  <c r="Q38" i="22"/>
  <c r="Q111" i="22"/>
  <c r="O106" i="22"/>
  <c r="Q101" i="22"/>
  <c r="Q96" i="22"/>
  <c r="Q93" i="22"/>
  <c r="Q88" i="22"/>
  <c r="Q76" i="22"/>
  <c r="Q69" i="22"/>
  <c r="O61" i="22"/>
  <c r="Q48" i="22"/>
  <c r="Q16" i="22"/>
  <c r="Q34" i="22"/>
  <c r="Q108" i="22"/>
  <c r="Q98" i="22"/>
  <c r="Q90" i="22"/>
  <c r="Q79" i="22"/>
  <c r="Q73" i="22"/>
  <c r="Q63" i="22"/>
  <c r="Q45" i="22"/>
  <c r="Q113" i="22"/>
  <c r="Q103" i="22"/>
  <c r="O90" i="22"/>
  <c r="O63" i="22"/>
  <c r="Q55" i="22"/>
  <c r="O52" i="22"/>
  <c r="Q89" i="22"/>
  <c r="Q67" i="22"/>
  <c r="Q91" i="22"/>
  <c r="O67" i="22"/>
  <c r="Q35" i="22"/>
  <c r="Q110" i="22"/>
  <c r="Q105" i="22"/>
  <c r="Q100" i="22"/>
  <c r="Q95" i="22"/>
  <c r="Q92" i="22"/>
  <c r="Q81" i="22"/>
  <c r="Q75" i="22"/>
  <c r="Q65" i="22"/>
  <c r="Q47" i="22"/>
  <c r="Q28" i="22"/>
  <c r="Q107" i="22"/>
  <c r="Q97" i="22"/>
  <c r="Q72" i="22"/>
  <c r="O65" i="22"/>
  <c r="Q44" i="22"/>
  <c r="Q39" i="22"/>
  <c r="C21" i="32"/>
  <c r="C23" i="32"/>
  <c r="P13" i="32"/>
  <c r="P14" i="32" s="1"/>
  <c r="P15" i="32" s="1"/>
  <c r="D12" i="32"/>
  <c r="D22" i="32"/>
  <c r="C16" i="32"/>
  <c r="C24" i="32"/>
  <c r="D24" i="32"/>
  <c r="C22" i="32"/>
  <c r="D23" i="32"/>
  <c r="D19" i="32"/>
  <c r="D11" i="32"/>
  <c r="D21" i="32"/>
  <c r="C17" i="32"/>
  <c r="C25" i="32"/>
  <c r="D18" i="32"/>
  <c r="D20" i="32"/>
  <c r="P23" i="32"/>
  <c r="C18" i="32"/>
  <c r="C26" i="32"/>
  <c r="D17" i="32"/>
  <c r="D27" i="32"/>
  <c r="C11" i="32"/>
  <c r="C19" i="32"/>
  <c r="C27" i="32"/>
  <c r="D14" i="32"/>
  <c r="C14" i="32"/>
  <c r="D13" i="32"/>
  <c r="D16" i="32"/>
  <c r="D26" i="32"/>
  <c r="C12" i="32"/>
  <c r="C20" i="32"/>
  <c r="C15" i="32"/>
  <c r="D15" i="32"/>
  <c r="D25" i="32"/>
  <c r="C13" i="32"/>
  <c r="O13" i="32"/>
  <c r="O14" i="32" s="1"/>
  <c r="R14" i="32" s="1"/>
  <c r="N76" i="22"/>
  <c r="P21" i="22"/>
  <c r="P23" i="22"/>
  <c r="P13" i="22"/>
  <c r="I13" i="22" s="1"/>
  <c r="N99" i="22"/>
  <c r="N102" i="22"/>
  <c r="N112" i="22"/>
  <c r="N63" i="22"/>
  <c r="N65" i="22"/>
  <c r="N107" i="22"/>
  <c r="N100" i="22"/>
  <c r="N104" i="22"/>
  <c r="N66" i="22"/>
  <c r="N86" i="22"/>
  <c r="N78" i="22"/>
  <c r="O102" i="22"/>
  <c r="O92" i="22"/>
  <c r="O69" i="22"/>
  <c r="O54" i="22"/>
  <c r="O113" i="22"/>
  <c r="O100" i="22"/>
  <c r="O94" i="22"/>
  <c r="O77" i="22"/>
  <c r="O75" i="22"/>
  <c r="O56" i="22"/>
  <c r="O111" i="22"/>
  <c r="O109" i="22"/>
  <c r="O107" i="22"/>
  <c r="O66" i="22"/>
  <c r="O51" i="22"/>
  <c r="O42" i="22"/>
  <c r="O38" i="22"/>
  <c r="O31" i="22"/>
  <c r="O48" i="22"/>
  <c r="O36" i="22"/>
  <c r="O23" i="22"/>
  <c r="O21" i="22"/>
  <c r="O73" i="22"/>
  <c r="O105" i="22"/>
  <c r="O98" i="22"/>
  <c r="O96" i="22"/>
  <c r="O86" i="22"/>
  <c r="O79" i="22"/>
  <c r="O68" i="22"/>
  <c r="O64" i="22"/>
  <c r="O62" i="22"/>
  <c r="O58" i="22"/>
  <c r="O24" i="22"/>
  <c r="O22" i="22"/>
  <c r="O28" i="22"/>
  <c r="O103" i="22"/>
  <c r="O81" i="22"/>
  <c r="O53" i="22"/>
  <c r="O114" i="22"/>
  <c r="O112" i="22"/>
  <c r="O101" i="22"/>
  <c r="O55" i="22"/>
  <c r="O44" i="22"/>
  <c r="O30" i="22"/>
  <c r="O17" i="22"/>
  <c r="O110" i="22"/>
  <c r="O108" i="22"/>
  <c r="O99" i="22"/>
  <c r="O88" i="22"/>
  <c r="O57" i="22"/>
  <c r="O46" i="22"/>
  <c r="O34" i="22"/>
  <c r="O13" i="22"/>
  <c r="N108" i="22"/>
  <c r="N103" i="22"/>
  <c r="N98" i="22"/>
  <c r="N94" i="22"/>
  <c r="N35" i="22"/>
  <c r="N73" i="22"/>
  <c r="N110" i="22"/>
  <c r="N62" i="22"/>
  <c r="N42" i="22"/>
  <c r="N29" i="22"/>
  <c r="N96" i="22"/>
  <c r="N77" i="22"/>
  <c r="N111" i="22"/>
  <c r="N106" i="22"/>
  <c r="N69" i="22"/>
  <c r="N67" i="22"/>
  <c r="N114" i="22"/>
  <c r="N72" i="22"/>
  <c r="N61" i="22"/>
  <c r="N56" i="22"/>
  <c r="N36" i="22"/>
  <c r="F34" i="22"/>
  <c r="G34" i="22" s="1"/>
  <c r="P113" i="22"/>
  <c r="P106" i="22"/>
  <c r="P99" i="22"/>
  <c r="P93" i="22"/>
  <c r="P81" i="22"/>
  <c r="P79" i="22"/>
  <c r="P63" i="22"/>
  <c r="P48" i="22"/>
  <c r="P22" i="22"/>
  <c r="I22" i="22" s="1"/>
  <c r="P110" i="22"/>
  <c r="P103" i="22"/>
  <c r="P96" i="22"/>
  <c r="P91" i="22"/>
  <c r="P75" i="22"/>
  <c r="P73" i="22"/>
  <c r="I73" i="22" s="1"/>
  <c r="P55" i="22"/>
  <c r="P46" i="22"/>
  <c r="P42" i="22"/>
  <c r="P114" i="22"/>
  <c r="P107" i="22"/>
  <c r="P100" i="22"/>
  <c r="P94" i="22"/>
  <c r="P89" i="22"/>
  <c r="P87" i="22"/>
  <c r="P61" i="22"/>
  <c r="P53" i="22"/>
  <c r="P51" i="22"/>
  <c r="P111" i="22"/>
  <c r="P104" i="22"/>
  <c r="P85" i="22"/>
  <c r="P58" i="22"/>
  <c r="P56" i="22"/>
  <c r="P38" i="22"/>
  <c r="P34" i="22"/>
  <c r="P108" i="22"/>
  <c r="P97" i="22"/>
  <c r="P92" i="22"/>
  <c r="P69" i="22"/>
  <c r="P112" i="22"/>
  <c r="P101" i="22"/>
  <c r="P90" i="22"/>
  <c r="P86" i="22"/>
  <c r="I86" i="22" s="1"/>
  <c r="P67" i="22"/>
  <c r="P54" i="22"/>
  <c r="P47" i="22"/>
  <c r="P105" i="22"/>
  <c r="P98" i="22"/>
  <c r="P88" i="22"/>
  <c r="P52" i="22"/>
  <c r="I52" i="22" s="1"/>
  <c r="P45" i="22"/>
  <c r="P43" i="22"/>
  <c r="I43" i="22" s="1"/>
  <c r="I44" i="22" s="1"/>
  <c r="P30" i="22"/>
  <c r="P109" i="22"/>
  <c r="P102" i="22"/>
  <c r="P95" i="22"/>
  <c r="P77" i="22"/>
  <c r="P65" i="22"/>
  <c r="P57" i="22"/>
  <c r="P28" i="22"/>
  <c r="I28" i="22" s="1"/>
  <c r="P24" i="22"/>
  <c r="P16" i="22"/>
  <c r="P36" i="22"/>
  <c r="F85" i="22"/>
  <c r="G85" i="22" s="1"/>
  <c r="N16" i="22"/>
  <c r="N18" i="22"/>
  <c r="N43" i="22"/>
  <c r="N45" i="22"/>
  <c r="N47" i="22"/>
  <c r="N85" i="22"/>
  <c r="N87" i="22"/>
  <c r="N89" i="22"/>
  <c r="N91" i="22"/>
  <c r="N93" i="22"/>
  <c r="N22" i="22"/>
  <c r="N24" i="22"/>
  <c r="N51" i="22"/>
  <c r="N53" i="22"/>
  <c r="N55" i="22"/>
  <c r="N57" i="22"/>
  <c r="N27" i="22"/>
  <c r="N31" i="22"/>
  <c r="N37" i="22"/>
  <c r="N58" i="22"/>
  <c r="N79" i="22"/>
  <c r="N88" i="22"/>
  <c r="N95" i="22"/>
  <c r="N21" i="22"/>
  <c r="N38" i="22"/>
  <c r="N46" i="22"/>
  <c r="N64" i="22"/>
  <c r="N68" i="22"/>
  <c r="N74" i="22"/>
  <c r="N80" i="22"/>
  <c r="N12" i="22"/>
  <c r="N28" i="22"/>
  <c r="N54" i="22"/>
  <c r="N75" i="22"/>
  <c r="N90" i="22"/>
  <c r="N13" i="22"/>
  <c r="N34" i="22"/>
  <c r="N39" i="22"/>
  <c r="N92" i="22"/>
  <c r="N48" i="22"/>
  <c r="N81" i="22"/>
  <c r="N44" i="22"/>
  <c r="N30" i="22"/>
  <c r="N23" i="22"/>
  <c r="F21" i="22"/>
  <c r="G21" i="22" s="1"/>
  <c r="F72" i="22"/>
  <c r="G72" i="22" s="1"/>
  <c r="N113" i="22"/>
  <c r="N109" i="22"/>
  <c r="N105" i="22"/>
  <c r="N101" i="22"/>
  <c r="N97" i="22"/>
  <c r="N52" i="22"/>
  <c r="F9" i="22"/>
  <c r="H9" i="22"/>
  <c r="Q21" i="22"/>
  <c r="Q23" i="22"/>
  <c r="Q52" i="22"/>
  <c r="Q54" i="22"/>
  <c r="Q56" i="22"/>
  <c r="Q58" i="22"/>
  <c r="Q27" i="22"/>
  <c r="Q29" i="22"/>
  <c r="Q31" i="22"/>
  <c r="Q62" i="22"/>
  <c r="Q64" i="22"/>
  <c r="Q66" i="22"/>
  <c r="Q68" i="22"/>
  <c r="Q94" i="22"/>
  <c r="Q87" i="22"/>
  <c r="Q86" i="22"/>
  <c r="Q57" i="22"/>
  <c r="Q37" i="22"/>
  <c r="Q36" i="22"/>
  <c r="Q30" i="22"/>
  <c r="Q18" i="22"/>
  <c r="Q17" i="22"/>
  <c r="P27" i="22"/>
  <c r="P29" i="22"/>
  <c r="P31" i="22"/>
  <c r="P62" i="22"/>
  <c r="I62" i="22" s="1"/>
  <c r="H62" i="22" s="1"/>
  <c r="P64" i="22"/>
  <c r="P66" i="22"/>
  <c r="P68" i="22"/>
  <c r="P12" i="22"/>
  <c r="P35" i="22"/>
  <c r="I35" i="22" s="1"/>
  <c r="P37" i="22"/>
  <c r="P39" i="22"/>
  <c r="P72" i="22"/>
  <c r="P74" i="22"/>
  <c r="P76" i="22"/>
  <c r="P78" i="22"/>
  <c r="P80" i="22"/>
  <c r="Q78" i="22"/>
  <c r="Q77" i="22"/>
  <c r="Q51" i="22"/>
  <c r="Q43" i="22"/>
  <c r="Q42" i="22"/>
  <c r="Q24" i="22"/>
  <c r="P18" i="22"/>
  <c r="P17" i="22"/>
  <c r="I17" i="22" s="1"/>
  <c r="F16" i="22"/>
  <c r="G16" i="22" s="1"/>
  <c r="O12" i="22"/>
  <c r="O35" i="22"/>
  <c r="O37" i="22"/>
  <c r="O39" i="22"/>
  <c r="O72" i="22"/>
  <c r="O74" i="22"/>
  <c r="O76" i="22"/>
  <c r="O78" i="22"/>
  <c r="O80" i="22"/>
  <c r="O16" i="22"/>
  <c r="O18" i="22"/>
  <c r="O43" i="22"/>
  <c r="O45" i="22"/>
  <c r="O47" i="22"/>
  <c r="O85" i="22"/>
  <c r="O87" i="22"/>
  <c r="O89" i="22"/>
  <c r="O91" i="22"/>
  <c r="O93" i="22"/>
  <c r="O95" i="22"/>
  <c r="E61" i="22" l="1"/>
  <c r="E50" i="36"/>
  <c r="D50" i="36" s="1"/>
  <c r="E71" i="36"/>
  <c r="D71" i="36" s="1"/>
  <c r="E33" i="36"/>
  <c r="D33" i="36" s="1"/>
  <c r="E60" i="36"/>
  <c r="D60" i="36" s="1"/>
  <c r="E41" i="36"/>
  <c r="D41" i="36" s="1"/>
  <c r="F21" i="36"/>
  <c r="G21" i="36" s="1"/>
  <c r="H21" i="36"/>
  <c r="E26" i="36"/>
  <c r="D26" i="36" s="1"/>
  <c r="I52" i="36"/>
  <c r="F51" i="36"/>
  <c r="G51" i="36" s="1"/>
  <c r="H51" i="36"/>
  <c r="F34" i="36"/>
  <c r="G34" i="36" s="1"/>
  <c r="I35" i="36"/>
  <c r="H34" i="36"/>
  <c r="A84" i="36"/>
  <c r="E84" i="36"/>
  <c r="D84" i="36" s="1"/>
  <c r="I86" i="36"/>
  <c r="F85" i="36"/>
  <c r="G85" i="36" s="1"/>
  <c r="H85" i="36"/>
  <c r="E20" i="36"/>
  <c r="D20" i="36" s="1"/>
  <c r="G16" i="36"/>
  <c r="E15" i="36"/>
  <c r="D15" i="36" s="1"/>
  <c r="F72" i="36"/>
  <c r="G72" i="36" s="1"/>
  <c r="I73" i="36"/>
  <c r="H72" i="36"/>
  <c r="F27" i="36"/>
  <c r="G27" i="36" s="1"/>
  <c r="I28" i="36"/>
  <c r="H27" i="36"/>
  <c r="F61" i="36"/>
  <c r="G61" i="36" s="1"/>
  <c r="I62" i="36"/>
  <c r="H61" i="36"/>
  <c r="I43" i="36"/>
  <c r="F42" i="36"/>
  <c r="G42" i="36" s="1"/>
  <c r="H42" i="36"/>
  <c r="F13" i="22"/>
  <c r="G13" i="22" s="1"/>
  <c r="G14" i="22" s="1"/>
  <c r="H16" i="22"/>
  <c r="H12" i="22"/>
  <c r="H72" i="22"/>
  <c r="H61" i="22"/>
  <c r="H42" i="22"/>
  <c r="H34" i="22"/>
  <c r="H27" i="22"/>
  <c r="H85" i="22"/>
  <c r="A85" i="22" s="1"/>
  <c r="E51" i="22"/>
  <c r="H51" i="22"/>
  <c r="H52" i="22"/>
  <c r="I15" i="32"/>
  <c r="J15" i="32" s="1"/>
  <c r="K15" i="32"/>
  <c r="L15" i="32" s="1"/>
  <c r="I27" i="32"/>
  <c r="J27" i="32" s="1"/>
  <c r="K27" i="32"/>
  <c r="L27" i="32" s="1"/>
  <c r="I22" i="32"/>
  <c r="J22" i="32" s="1"/>
  <c r="K22" i="32"/>
  <c r="L22" i="32" s="1"/>
  <c r="I20" i="32"/>
  <c r="J20" i="32" s="1"/>
  <c r="K20" i="32"/>
  <c r="L20" i="32" s="1"/>
  <c r="I19" i="32"/>
  <c r="J19" i="32" s="1"/>
  <c r="K19" i="32"/>
  <c r="L19" i="32" s="1"/>
  <c r="I16" i="32"/>
  <c r="J16" i="32" s="1"/>
  <c r="K16" i="32"/>
  <c r="L16" i="32" s="1"/>
  <c r="I12" i="32"/>
  <c r="J12" i="32" s="1"/>
  <c r="K12" i="32"/>
  <c r="L12" i="32" s="1"/>
  <c r="I25" i="32"/>
  <c r="J25" i="32" s="1"/>
  <c r="K25" i="32"/>
  <c r="L25" i="32" s="1"/>
  <c r="I17" i="32"/>
  <c r="J17" i="32" s="1"/>
  <c r="K17" i="32"/>
  <c r="L17" i="32" s="1"/>
  <c r="I26" i="32"/>
  <c r="J26" i="32" s="1"/>
  <c r="K26" i="32"/>
  <c r="L26" i="32" s="1"/>
  <c r="I11" i="32"/>
  <c r="J11" i="32" s="1"/>
  <c r="K11" i="32"/>
  <c r="L11" i="32" s="1"/>
  <c r="I24" i="32"/>
  <c r="J24" i="32" s="1"/>
  <c r="K24" i="32"/>
  <c r="L24" i="32" s="1"/>
  <c r="I13" i="32"/>
  <c r="J13" i="32" s="1"/>
  <c r="K13" i="32"/>
  <c r="L13" i="32" s="1"/>
  <c r="I14" i="32"/>
  <c r="J14" i="32" s="1"/>
  <c r="K14" i="32"/>
  <c r="L14" i="32" s="1"/>
  <c r="I18" i="32"/>
  <c r="J18" i="32" s="1"/>
  <c r="K18" i="32"/>
  <c r="L18" i="32" s="1"/>
  <c r="I23" i="32"/>
  <c r="J23" i="32" s="1"/>
  <c r="K23" i="32"/>
  <c r="L23" i="32" s="1"/>
  <c r="G21" i="32"/>
  <c r="H21" i="32" s="1"/>
  <c r="K21" i="32"/>
  <c r="L21" i="32" s="1"/>
  <c r="E21" i="32"/>
  <c r="I21" i="32"/>
  <c r="J21" i="32" s="1"/>
  <c r="E14" i="32"/>
  <c r="F14" i="32" s="1"/>
  <c r="G14" i="32"/>
  <c r="H14" i="32" s="1"/>
  <c r="E18" i="32"/>
  <c r="F18" i="32" s="1"/>
  <c r="G18" i="32"/>
  <c r="H18" i="32" s="1"/>
  <c r="G20" i="32"/>
  <c r="H20" i="32" s="1"/>
  <c r="E20" i="32"/>
  <c r="F20" i="32" s="1"/>
  <c r="G19" i="32"/>
  <c r="H19" i="32" s="1"/>
  <c r="E19" i="32"/>
  <c r="F19" i="32" s="1"/>
  <c r="E25" i="32"/>
  <c r="G25" i="32"/>
  <c r="H25" i="32" s="1"/>
  <c r="E17" i="32"/>
  <c r="F17" i="32" s="1"/>
  <c r="G17" i="32"/>
  <c r="H17" i="32" s="1"/>
  <c r="G11" i="32"/>
  <c r="H11" i="32" s="1"/>
  <c r="E11" i="32"/>
  <c r="F11" i="32" s="1"/>
  <c r="G16" i="32"/>
  <c r="H16" i="32" s="1"/>
  <c r="E16" i="32"/>
  <c r="F16" i="32" s="1"/>
  <c r="E13" i="32"/>
  <c r="F13" i="32" s="1"/>
  <c r="G13" i="32"/>
  <c r="H13" i="32" s="1"/>
  <c r="E26" i="32"/>
  <c r="G26" i="32"/>
  <c r="H26" i="32" s="1"/>
  <c r="G12" i="32"/>
  <c r="H12" i="32" s="1"/>
  <c r="E12" i="32"/>
  <c r="F12" i="32" s="1"/>
  <c r="G24" i="32"/>
  <c r="H24" i="32" s="1"/>
  <c r="E24" i="32"/>
  <c r="F24" i="32" s="1"/>
  <c r="G23" i="32"/>
  <c r="H23" i="32" s="1"/>
  <c r="E23" i="32"/>
  <c r="G15" i="32"/>
  <c r="H15" i="32" s="1"/>
  <c r="E15" i="32"/>
  <c r="F15" i="32" s="1"/>
  <c r="G27" i="32"/>
  <c r="H27" i="32" s="1"/>
  <c r="E27" i="32"/>
  <c r="F27" i="32" s="1"/>
  <c r="E22" i="32"/>
  <c r="F22" i="32" s="1"/>
  <c r="G22" i="32"/>
  <c r="H22" i="32" s="1"/>
  <c r="S14" i="32"/>
  <c r="V13" i="32"/>
  <c r="W13" i="32" s="1"/>
  <c r="V14" i="32"/>
  <c r="W14" i="32" s="1"/>
  <c r="R13" i="32"/>
  <c r="S13" i="32" s="1"/>
  <c r="O15" i="32"/>
  <c r="R15" i="32" s="1"/>
  <c r="S15" i="32" s="1"/>
  <c r="P16" i="32"/>
  <c r="I23" i="22"/>
  <c r="F23" i="22" s="1"/>
  <c r="E34" i="22"/>
  <c r="E42" i="22"/>
  <c r="H21" i="22"/>
  <c r="H43" i="22"/>
  <c r="E85" i="22"/>
  <c r="F43" i="22"/>
  <c r="G43" i="22" s="1"/>
  <c r="E43" i="22" s="1"/>
  <c r="H22" i="22"/>
  <c r="F22" i="22"/>
  <c r="G22" i="22" s="1"/>
  <c r="H86" i="22"/>
  <c r="F17" i="22"/>
  <c r="G17" i="22" s="1"/>
  <c r="I18" i="22"/>
  <c r="F18" i="22" s="1"/>
  <c r="H17" i="22"/>
  <c r="I45" i="22"/>
  <c r="F44" i="22"/>
  <c r="I29" i="22"/>
  <c r="H28" i="22"/>
  <c r="F28" i="22"/>
  <c r="G28" i="22" s="1"/>
  <c r="I36" i="22"/>
  <c r="F35" i="22"/>
  <c r="G35" i="22" s="1"/>
  <c r="E72" i="22"/>
  <c r="F62" i="22"/>
  <c r="G62" i="22" s="1"/>
  <c r="I63" i="22"/>
  <c r="F73" i="22"/>
  <c r="G73" i="22" s="1"/>
  <c r="H73" i="22"/>
  <c r="I74" i="22"/>
  <c r="H74" i="22" s="1"/>
  <c r="H13" i="22"/>
  <c r="E27" i="22"/>
  <c r="E16" i="22"/>
  <c r="F86" i="22"/>
  <c r="G86" i="22" s="1"/>
  <c r="I87" i="22"/>
  <c r="H87" i="22" s="1"/>
  <c r="E9" i="22"/>
  <c r="G9" i="22"/>
  <c r="G10" i="22" s="1"/>
  <c r="E21" i="22"/>
  <c r="F52" i="22"/>
  <c r="G52" i="22" s="1"/>
  <c r="I53" i="22"/>
  <c r="H35" i="22"/>
  <c r="H44" i="22"/>
  <c r="E12" i="22"/>
  <c r="D85" i="22" l="1"/>
  <c r="D61" i="22"/>
  <c r="D72" i="22"/>
  <c r="D16" i="22"/>
  <c r="E42" i="36"/>
  <c r="D42" i="36" s="1"/>
  <c r="E51" i="36"/>
  <c r="D51" i="36" s="1"/>
  <c r="E72" i="36"/>
  <c r="D72" i="36" s="1"/>
  <c r="I74" i="36"/>
  <c r="F73" i="36"/>
  <c r="G73" i="36" s="1"/>
  <c r="H73" i="36"/>
  <c r="I44" i="36"/>
  <c r="F43" i="36"/>
  <c r="G43" i="36" s="1"/>
  <c r="H43" i="36"/>
  <c r="E61" i="36"/>
  <c r="D61" i="36" s="1"/>
  <c r="E27" i="36"/>
  <c r="D27" i="36" s="1"/>
  <c r="F28" i="36"/>
  <c r="G28" i="36" s="1"/>
  <c r="H28" i="36"/>
  <c r="G22" i="36"/>
  <c r="E21" i="36"/>
  <c r="D21" i="36" s="1"/>
  <c r="F35" i="36"/>
  <c r="G35" i="36" s="1"/>
  <c r="I36" i="36"/>
  <c r="H35" i="36"/>
  <c r="F62" i="36"/>
  <c r="G62" i="36" s="1"/>
  <c r="I63" i="36"/>
  <c r="H62" i="36"/>
  <c r="A85" i="36"/>
  <c r="E85" i="36"/>
  <c r="D85" i="36" s="1"/>
  <c r="I87" i="36"/>
  <c r="F86" i="36"/>
  <c r="G86" i="36" s="1"/>
  <c r="H86" i="36"/>
  <c r="F52" i="36"/>
  <c r="G52" i="36" s="1"/>
  <c r="I53" i="36"/>
  <c r="H52" i="36"/>
  <c r="E34" i="36"/>
  <c r="D34" i="36" s="1"/>
  <c r="D12" i="22"/>
  <c r="D42" i="22"/>
  <c r="D34" i="22"/>
  <c r="D27" i="22"/>
  <c r="D51" i="22"/>
  <c r="A86" i="22"/>
  <c r="F26" i="32"/>
  <c r="F25" i="32"/>
  <c r="F21" i="32"/>
  <c r="F23" i="32"/>
  <c r="O16" i="32"/>
  <c r="R16" i="32" s="1"/>
  <c r="S16" i="32" s="1"/>
  <c r="V15" i="32"/>
  <c r="W15" i="32" s="1"/>
  <c r="P17" i="32"/>
  <c r="H23" i="22"/>
  <c r="I24" i="22"/>
  <c r="F24" i="22" s="1"/>
  <c r="G44" i="22"/>
  <c r="E44" i="22" s="1"/>
  <c r="D44" i="22" s="1"/>
  <c r="D43" i="22"/>
  <c r="D21" i="22"/>
  <c r="H18" i="22"/>
  <c r="G23" i="22"/>
  <c r="E23" i="22" s="1"/>
  <c r="E22" i="22"/>
  <c r="D22" i="22" s="1"/>
  <c r="I46" i="22"/>
  <c r="F45" i="22"/>
  <c r="E62" i="22"/>
  <c r="D62" i="22" s="1"/>
  <c r="F36" i="22"/>
  <c r="G36" i="22" s="1"/>
  <c r="I37" i="22"/>
  <c r="H36" i="22"/>
  <c r="G18" i="22"/>
  <c r="E17" i="22"/>
  <c r="D17" i="22" s="1"/>
  <c r="F53" i="22"/>
  <c r="G53" i="22" s="1"/>
  <c r="H53" i="22"/>
  <c r="I54" i="22"/>
  <c r="E86" i="22"/>
  <c r="D86" i="22" s="1"/>
  <c r="E73" i="22"/>
  <c r="D73" i="22" s="1"/>
  <c r="H45" i="22"/>
  <c r="E13" i="22"/>
  <c r="D13" i="22" s="1"/>
  <c r="I88" i="22"/>
  <c r="F87" i="22"/>
  <c r="G87" i="22" s="1"/>
  <c r="A87" i="22" s="1"/>
  <c r="F29" i="22"/>
  <c r="G29" i="22" s="1"/>
  <c r="I30" i="22"/>
  <c r="H29" i="22"/>
  <c r="E35" i="22"/>
  <c r="D35" i="22" s="1"/>
  <c r="I75" i="22"/>
  <c r="F74" i="22"/>
  <c r="G74" i="22" s="1"/>
  <c r="E28" i="22"/>
  <c r="D28" i="22" s="1"/>
  <c r="E52" i="22"/>
  <c r="D52" i="22" s="1"/>
  <c r="F63" i="22"/>
  <c r="G63" i="22" s="1"/>
  <c r="I64" i="22"/>
  <c r="H63" i="22"/>
  <c r="E73" i="36" l="1"/>
  <c r="D73" i="36" s="1"/>
  <c r="G29" i="36"/>
  <c r="E28" i="36"/>
  <c r="D28" i="36" s="1"/>
  <c r="E52" i="36"/>
  <c r="D52" i="36" s="1"/>
  <c r="E62" i="36"/>
  <c r="D62" i="36" s="1"/>
  <c r="A86" i="36"/>
  <c r="E86" i="36"/>
  <c r="D86" i="36" s="1"/>
  <c r="E35" i="36"/>
  <c r="D35" i="36" s="1"/>
  <c r="F74" i="36"/>
  <c r="G74" i="36" s="1"/>
  <c r="I75" i="36"/>
  <c r="H74" i="36"/>
  <c r="I88" i="36"/>
  <c r="F87" i="36"/>
  <c r="G87" i="36" s="1"/>
  <c r="H87" i="36"/>
  <c r="F36" i="36"/>
  <c r="G36" i="36" s="1"/>
  <c r="H36" i="36"/>
  <c r="I54" i="36"/>
  <c r="F53" i="36"/>
  <c r="G53" i="36" s="1"/>
  <c r="H53" i="36"/>
  <c r="F63" i="36"/>
  <c r="G63" i="36" s="1"/>
  <c r="I64" i="36"/>
  <c r="H63" i="36"/>
  <c r="F44" i="36"/>
  <c r="G44" i="36" s="1"/>
  <c r="I45" i="36"/>
  <c r="H44" i="36"/>
  <c r="E43" i="36"/>
  <c r="D43" i="36" s="1"/>
  <c r="V16" i="32"/>
  <c r="W16" i="32" s="1"/>
  <c r="O17" i="32"/>
  <c r="O18" i="32" s="1"/>
  <c r="P18" i="32"/>
  <c r="D23" i="22"/>
  <c r="H24" i="22"/>
  <c r="G45" i="22"/>
  <c r="E45" i="22" s="1"/>
  <c r="D45" i="22" s="1"/>
  <c r="G24" i="22"/>
  <c r="E36" i="22"/>
  <c r="D36" i="22" s="1"/>
  <c r="E87" i="22"/>
  <c r="D87" i="22" s="1"/>
  <c r="E74" i="22"/>
  <c r="D74" i="22" s="1"/>
  <c r="I38" i="22"/>
  <c r="F37" i="22"/>
  <c r="G37" i="22" s="1"/>
  <c r="H37" i="22"/>
  <c r="F88" i="22"/>
  <c r="G88" i="22" s="1"/>
  <c r="I89" i="22"/>
  <c r="H88" i="22"/>
  <c r="I76" i="22"/>
  <c r="F75" i="22"/>
  <c r="G75" i="22" s="1"/>
  <c r="H75" i="22"/>
  <c r="E53" i="22"/>
  <c r="D53" i="22" s="1"/>
  <c r="F64" i="22"/>
  <c r="G64" i="22" s="1"/>
  <c r="I65" i="22"/>
  <c r="H64" i="22"/>
  <c r="E63" i="22"/>
  <c r="D63" i="22" s="1"/>
  <c r="G19" i="22"/>
  <c r="E18" i="22"/>
  <c r="D18" i="22" s="1"/>
  <c r="E29" i="22"/>
  <c r="D29" i="22" s="1"/>
  <c r="I55" i="22"/>
  <c r="F54" i="22"/>
  <c r="G54" i="22" s="1"/>
  <c r="H54" i="22"/>
  <c r="F30" i="22"/>
  <c r="G30" i="22" s="1"/>
  <c r="I31" i="22"/>
  <c r="H30" i="22"/>
  <c r="I47" i="22"/>
  <c r="F46" i="22"/>
  <c r="H46" i="22"/>
  <c r="E63" i="36" l="1"/>
  <c r="D63" i="36" s="1"/>
  <c r="G37" i="36"/>
  <c r="E36" i="36"/>
  <c r="D36" i="36" s="1"/>
  <c r="E53" i="36"/>
  <c r="D53" i="36" s="1"/>
  <c r="F54" i="36"/>
  <c r="G54" i="36" s="1"/>
  <c r="I55" i="36"/>
  <c r="H54" i="36"/>
  <c r="A87" i="36"/>
  <c r="E87" i="36"/>
  <c r="D87" i="36" s="1"/>
  <c r="E74" i="36"/>
  <c r="D74" i="36" s="1"/>
  <c r="E44" i="36"/>
  <c r="D44" i="36" s="1"/>
  <c r="I89" i="36"/>
  <c r="F88" i="36"/>
  <c r="G88" i="36" s="1"/>
  <c r="H88" i="36"/>
  <c r="I76" i="36"/>
  <c r="F75" i="36"/>
  <c r="G75" i="36" s="1"/>
  <c r="H75" i="36"/>
  <c r="F45" i="36"/>
  <c r="G45" i="36" s="1"/>
  <c r="H45" i="36"/>
  <c r="F64" i="36"/>
  <c r="G64" i="36" s="1"/>
  <c r="I65" i="36"/>
  <c r="H64" i="36"/>
  <c r="A88" i="22"/>
  <c r="R17" i="32"/>
  <c r="S17" i="32" s="1"/>
  <c r="V17" i="32"/>
  <c r="W17" i="32" s="1"/>
  <c r="O19" i="32"/>
  <c r="R18" i="32"/>
  <c r="S18" i="32" s="1"/>
  <c r="V18" i="32"/>
  <c r="W18" i="32" s="1"/>
  <c r="P25" i="32"/>
  <c r="P19" i="32"/>
  <c r="G46" i="22"/>
  <c r="E46" i="22" s="1"/>
  <c r="D46" i="22" s="1"/>
  <c r="G25" i="22"/>
  <c r="E24" i="22"/>
  <c r="D24" i="22" s="1"/>
  <c r="E88" i="22"/>
  <c r="D88" i="22" s="1"/>
  <c r="E37" i="22"/>
  <c r="D37" i="22" s="1"/>
  <c r="E30" i="22"/>
  <c r="D30" i="22" s="1"/>
  <c r="E75" i="22"/>
  <c r="D75" i="22" s="1"/>
  <c r="E54" i="22"/>
  <c r="D54" i="22" s="1"/>
  <c r="E64" i="22"/>
  <c r="D64" i="22" s="1"/>
  <c r="I56" i="22"/>
  <c r="F55" i="22"/>
  <c r="G55" i="22" s="1"/>
  <c r="H55" i="22"/>
  <c r="I90" i="22"/>
  <c r="F89" i="22"/>
  <c r="G89" i="22" s="1"/>
  <c r="H89" i="22"/>
  <c r="I77" i="22"/>
  <c r="F76" i="22"/>
  <c r="G76" i="22" s="1"/>
  <c r="H76" i="22"/>
  <c r="I39" i="22"/>
  <c r="F38" i="22"/>
  <c r="G38" i="22" s="1"/>
  <c r="H38" i="22"/>
  <c r="I48" i="22"/>
  <c r="F47" i="22"/>
  <c r="H47" i="22"/>
  <c r="I66" i="22"/>
  <c r="F65" i="22"/>
  <c r="G65" i="22" s="1"/>
  <c r="H65" i="22"/>
  <c r="F31" i="22"/>
  <c r="G31" i="22" s="1"/>
  <c r="H31" i="22"/>
  <c r="A88" i="36" l="1"/>
  <c r="E88" i="36"/>
  <c r="D88" i="36" s="1"/>
  <c r="E64" i="36"/>
  <c r="D64" i="36" s="1"/>
  <c r="G46" i="36"/>
  <c r="E45" i="36"/>
  <c r="D45" i="36" s="1"/>
  <c r="E75" i="36"/>
  <c r="D75" i="36" s="1"/>
  <c r="E54" i="36"/>
  <c r="D54" i="36" s="1"/>
  <c r="I90" i="36"/>
  <c r="F89" i="36"/>
  <c r="G89" i="36" s="1"/>
  <c r="H89" i="36"/>
  <c r="F76" i="36"/>
  <c r="G76" i="36" s="1"/>
  <c r="I77" i="36"/>
  <c r="H76" i="36"/>
  <c r="F55" i="36"/>
  <c r="G55" i="36" s="1"/>
  <c r="H55" i="36"/>
  <c r="F65" i="36"/>
  <c r="G65" i="36" s="1"/>
  <c r="I66" i="36"/>
  <c r="H65" i="36"/>
  <c r="A89" i="22"/>
  <c r="P20" i="32"/>
  <c r="R19" i="32"/>
  <c r="S19" i="32" s="1"/>
  <c r="V19" i="32"/>
  <c r="W19" i="32" s="1"/>
  <c r="O20" i="32"/>
  <c r="G47" i="22"/>
  <c r="E47" i="22" s="1"/>
  <c r="D47" i="22" s="1"/>
  <c r="E89" i="22"/>
  <c r="D89" i="22" s="1"/>
  <c r="E55" i="22"/>
  <c r="D55" i="22" s="1"/>
  <c r="E65" i="22"/>
  <c r="D65" i="22" s="1"/>
  <c r="F66" i="22"/>
  <c r="G66" i="22" s="1"/>
  <c r="I67" i="22"/>
  <c r="H66" i="22"/>
  <c r="E76" i="22"/>
  <c r="D76" i="22" s="1"/>
  <c r="F77" i="22"/>
  <c r="G77" i="22" s="1"/>
  <c r="I78" i="22"/>
  <c r="H77" i="22"/>
  <c r="G32" i="22"/>
  <c r="E31" i="22"/>
  <c r="D31" i="22" s="1"/>
  <c r="E38" i="22"/>
  <c r="D38" i="22" s="1"/>
  <c r="F56" i="22"/>
  <c r="G56" i="22" s="1"/>
  <c r="I57" i="22"/>
  <c r="H56" i="22"/>
  <c r="I91" i="22"/>
  <c r="F90" i="22"/>
  <c r="G90" i="22" s="1"/>
  <c r="H90" i="22"/>
  <c r="F48" i="22"/>
  <c r="H48" i="22"/>
  <c r="F39" i="22"/>
  <c r="G39" i="22" s="1"/>
  <c r="H39" i="22"/>
  <c r="E65" i="36" l="1"/>
  <c r="D65" i="36" s="1"/>
  <c r="G56" i="36"/>
  <c r="E55" i="36"/>
  <c r="D55" i="36" s="1"/>
  <c r="A89" i="36"/>
  <c r="E89" i="36"/>
  <c r="D89" i="36" s="1"/>
  <c r="I78" i="36"/>
  <c r="F77" i="36"/>
  <c r="G77" i="36" s="1"/>
  <c r="H77" i="36"/>
  <c r="F66" i="36"/>
  <c r="G66" i="36" s="1"/>
  <c r="H66" i="36"/>
  <c r="I91" i="36"/>
  <c r="F90" i="36"/>
  <c r="G90" i="36" s="1"/>
  <c r="H90" i="36"/>
  <c r="E76" i="36"/>
  <c r="D76" i="36" s="1"/>
  <c r="A90" i="22"/>
  <c r="V20" i="32"/>
  <c r="W20" i="32" s="1"/>
  <c r="R20" i="32"/>
  <c r="S20" i="32" s="1"/>
  <c r="O21" i="32"/>
  <c r="P21" i="32"/>
  <c r="G48" i="22"/>
  <c r="E48" i="22" s="1"/>
  <c r="D48" i="22" s="1"/>
  <c r="E77" i="22"/>
  <c r="D77" i="22" s="1"/>
  <c r="G40" i="22"/>
  <c r="E39" i="22"/>
  <c r="D39" i="22" s="1"/>
  <c r="E56" i="22"/>
  <c r="D56" i="22" s="1"/>
  <c r="I79" i="22"/>
  <c r="F78" i="22"/>
  <c r="G78" i="22" s="1"/>
  <c r="H78" i="22"/>
  <c r="F57" i="22"/>
  <c r="G57" i="22" s="1"/>
  <c r="I58" i="22"/>
  <c r="H57" i="22"/>
  <c r="F67" i="22"/>
  <c r="G67" i="22" s="1"/>
  <c r="I68" i="22"/>
  <c r="H67" i="22"/>
  <c r="I92" i="22"/>
  <c r="F91" i="22"/>
  <c r="G91" i="22" s="1"/>
  <c r="H91" i="22"/>
  <c r="E66" i="22"/>
  <c r="D66" i="22" s="1"/>
  <c r="E90" i="22"/>
  <c r="D90" i="22" s="1"/>
  <c r="A90" i="36" l="1"/>
  <c r="E90" i="36"/>
  <c r="D90" i="36" s="1"/>
  <c r="G67" i="36"/>
  <c r="E66" i="36"/>
  <c r="D66" i="36" s="1"/>
  <c r="F78" i="36"/>
  <c r="G78" i="36" s="1"/>
  <c r="H78" i="36"/>
  <c r="I92" i="36"/>
  <c r="F91" i="36"/>
  <c r="G91" i="36" s="1"/>
  <c r="H91" i="36"/>
  <c r="E77" i="36"/>
  <c r="D77" i="36" s="1"/>
  <c r="A91" i="22"/>
  <c r="V21" i="32"/>
  <c r="W21" i="32" s="1"/>
  <c r="R21" i="32"/>
  <c r="S21" i="32" s="1"/>
  <c r="G49" i="22"/>
  <c r="E67" i="22"/>
  <c r="D67" i="22" s="1"/>
  <c r="F58" i="22"/>
  <c r="G58" i="22" s="1"/>
  <c r="H58" i="22"/>
  <c r="E91" i="22"/>
  <c r="D91" i="22" s="1"/>
  <c r="E57" i="22"/>
  <c r="D57" i="22" s="1"/>
  <c r="F92" i="22"/>
  <c r="G92" i="22" s="1"/>
  <c r="I93" i="22"/>
  <c r="H92" i="22"/>
  <c r="F68" i="22"/>
  <c r="G68" i="22" s="1"/>
  <c r="I69" i="22"/>
  <c r="H68" i="22"/>
  <c r="E78" i="22"/>
  <c r="D78" i="22" s="1"/>
  <c r="F79" i="22"/>
  <c r="G79" i="22" s="1"/>
  <c r="I80" i="22"/>
  <c r="H79" i="22"/>
  <c r="G79" i="36" l="1"/>
  <c r="F4" i="36" s="1"/>
  <c r="H4" i="36" s="1"/>
  <c r="J4" i="36" s="1"/>
  <c r="E78" i="36"/>
  <c r="D78" i="36" s="1"/>
  <c r="I93" i="36"/>
  <c r="F92" i="36"/>
  <c r="G92" i="36" s="1"/>
  <c r="H92" i="36"/>
  <c r="A91" i="36"/>
  <c r="E91" i="36"/>
  <c r="D91" i="36" s="1"/>
  <c r="A92" i="22"/>
  <c r="E79" i="22"/>
  <c r="D79" i="22" s="1"/>
  <c r="E68" i="22"/>
  <c r="D68" i="22" s="1"/>
  <c r="G59" i="22"/>
  <c r="E58" i="22"/>
  <c r="D58" i="22" s="1"/>
  <c r="E92" i="22"/>
  <c r="D92" i="22" s="1"/>
  <c r="F69" i="22"/>
  <c r="G69" i="22" s="1"/>
  <c r="H69" i="22"/>
  <c r="I81" i="22"/>
  <c r="F80" i="22"/>
  <c r="G80" i="22" s="1"/>
  <c r="H80" i="22"/>
  <c r="I94" i="22"/>
  <c r="F93" i="22"/>
  <c r="G93" i="22" s="1"/>
  <c r="H93" i="22"/>
  <c r="A92" i="36" l="1"/>
  <c r="E92" i="36"/>
  <c r="D92" i="36" s="1"/>
  <c r="F93" i="36"/>
  <c r="G93" i="36" s="1"/>
  <c r="I94" i="36"/>
  <c r="H93" i="36"/>
  <c r="A93" i="22"/>
  <c r="G70" i="22"/>
  <c r="E69" i="22"/>
  <c r="D69" i="22" s="1"/>
  <c r="E93" i="22"/>
  <c r="D93" i="22" s="1"/>
  <c r="E80" i="22"/>
  <c r="D80" i="22" s="1"/>
  <c r="F94" i="22"/>
  <c r="G94" i="22" s="1"/>
  <c r="I95" i="22"/>
  <c r="H94" i="22"/>
  <c r="F81" i="22"/>
  <c r="G81" i="22" s="1"/>
  <c r="H81" i="22"/>
  <c r="A93" i="36" l="1"/>
  <c r="E93" i="36"/>
  <c r="D93" i="36" s="1"/>
  <c r="F94" i="36"/>
  <c r="G94" i="36" s="1"/>
  <c r="I95" i="36"/>
  <c r="H94" i="36"/>
  <c r="A94" i="22"/>
  <c r="G82" i="22"/>
  <c r="F7" i="22" s="1"/>
  <c r="E81" i="22"/>
  <c r="D81" i="22" s="1"/>
  <c r="E94" i="22"/>
  <c r="D94" i="22" s="1"/>
  <c r="I96" i="22"/>
  <c r="F95" i="22"/>
  <c r="G95" i="22" s="1"/>
  <c r="H95" i="22"/>
  <c r="A94" i="36" l="1"/>
  <c r="E94" i="36"/>
  <c r="D94" i="36" s="1"/>
  <c r="I96" i="36"/>
  <c r="F95" i="36"/>
  <c r="G95" i="36" s="1"/>
  <c r="H95" i="36"/>
  <c r="A95" i="22"/>
  <c r="H7" i="22"/>
  <c r="J7" i="22" s="1"/>
  <c r="E95" i="22"/>
  <c r="D95" i="22" s="1"/>
  <c r="F96" i="22"/>
  <c r="G96" i="22" s="1"/>
  <c r="H96" i="22"/>
  <c r="I97" i="22"/>
  <c r="A95" i="36" l="1"/>
  <c r="E95" i="36"/>
  <c r="D95" i="36" s="1"/>
  <c r="I97" i="36"/>
  <c r="F96" i="36"/>
  <c r="G96" i="36" s="1"/>
  <c r="H96" i="36"/>
  <c r="A96" i="22"/>
  <c r="E96" i="22"/>
  <c r="D96" i="22" s="1"/>
  <c r="I98" i="22"/>
  <c r="F97" i="22"/>
  <c r="G97" i="22" s="1"/>
  <c r="H97" i="22"/>
  <c r="A96" i="36" l="1"/>
  <c r="E96" i="36"/>
  <c r="D96" i="36" s="1"/>
  <c r="I98" i="36"/>
  <c r="F97" i="36"/>
  <c r="G97" i="36" s="1"/>
  <c r="H97" i="36"/>
  <c r="A97" i="22"/>
  <c r="E97" i="22"/>
  <c r="D97" i="22" s="1"/>
  <c r="I99" i="22"/>
  <c r="F98" i="22"/>
  <c r="G98" i="22" s="1"/>
  <c r="H98" i="22"/>
  <c r="A97" i="36" l="1"/>
  <c r="E97" i="36"/>
  <c r="D97" i="36" s="1"/>
  <c r="I99" i="36"/>
  <c r="F98" i="36"/>
  <c r="G98" i="36" s="1"/>
  <c r="H98" i="36"/>
  <c r="A98" i="22"/>
  <c r="E98" i="22"/>
  <c r="D98" i="22" s="1"/>
  <c r="I100" i="22"/>
  <c r="F99" i="22"/>
  <c r="G99" i="22" s="1"/>
  <c r="H99" i="22"/>
  <c r="A98" i="36" l="1"/>
  <c r="E98" i="36"/>
  <c r="D98" i="36" s="1"/>
  <c r="I100" i="36"/>
  <c r="F99" i="36"/>
  <c r="G99" i="36" s="1"/>
  <c r="H99" i="36"/>
  <c r="A99" i="22"/>
  <c r="F100" i="22"/>
  <c r="G100" i="22" s="1"/>
  <c r="I101" i="22"/>
  <c r="H100" i="22"/>
  <c r="E99" i="22"/>
  <c r="D99" i="22" s="1"/>
  <c r="A99" i="36" l="1"/>
  <c r="E99" i="36"/>
  <c r="D99" i="36" s="1"/>
  <c r="I101" i="36"/>
  <c r="F100" i="36"/>
  <c r="G100" i="36" s="1"/>
  <c r="H100" i="36"/>
  <c r="A100" i="22"/>
  <c r="E100" i="22"/>
  <c r="D100" i="22" s="1"/>
  <c r="I102" i="22"/>
  <c r="F101" i="22"/>
  <c r="G101" i="22" s="1"/>
  <c r="H101" i="22"/>
  <c r="A100" i="36" l="1"/>
  <c r="E100" i="36"/>
  <c r="D100" i="36" s="1"/>
  <c r="F101" i="36"/>
  <c r="G101" i="36" s="1"/>
  <c r="I102" i="36"/>
  <c r="H101" i="36"/>
  <c r="A101" i="22"/>
  <c r="E101" i="22"/>
  <c r="D101" i="22" s="1"/>
  <c r="I103" i="22"/>
  <c r="F102" i="22"/>
  <c r="G102" i="22" s="1"/>
  <c r="H102" i="22"/>
  <c r="A101" i="36" l="1"/>
  <c r="E101" i="36"/>
  <c r="D101" i="36" s="1"/>
  <c r="F102" i="36"/>
  <c r="G102" i="36" s="1"/>
  <c r="I103" i="36"/>
  <c r="H102" i="36"/>
  <c r="A102" i="22"/>
  <c r="E102" i="22"/>
  <c r="D102" i="22" s="1"/>
  <c r="I104" i="22"/>
  <c r="F103" i="22"/>
  <c r="G103" i="22" s="1"/>
  <c r="H103" i="22"/>
  <c r="A102" i="36" l="1"/>
  <c r="E102" i="36"/>
  <c r="D102" i="36" s="1"/>
  <c r="I104" i="36"/>
  <c r="F103" i="36"/>
  <c r="G103" i="36" s="1"/>
  <c r="H103" i="36"/>
  <c r="A103" i="22"/>
  <c r="E103" i="22"/>
  <c r="D103" i="22" s="1"/>
  <c r="F104" i="22"/>
  <c r="G104" i="22" s="1"/>
  <c r="H104" i="22"/>
  <c r="I105" i="22"/>
  <c r="A103" i="36" l="1"/>
  <c r="E103" i="36"/>
  <c r="D103" i="36" s="1"/>
  <c r="I105" i="36"/>
  <c r="F104" i="36"/>
  <c r="G104" i="36" s="1"/>
  <c r="H104" i="36"/>
  <c r="A104" i="22"/>
  <c r="E104" i="22"/>
  <c r="D104" i="22" s="1"/>
  <c r="I106" i="22"/>
  <c r="F105" i="22"/>
  <c r="G105" i="22" s="1"/>
  <c r="H105" i="22"/>
  <c r="A104" i="36" l="1"/>
  <c r="E104" i="36"/>
  <c r="D104" i="36" s="1"/>
  <c r="I106" i="36"/>
  <c r="F105" i="36"/>
  <c r="G105" i="36" s="1"/>
  <c r="H105" i="36"/>
  <c r="A105" i="22"/>
  <c r="E105" i="22"/>
  <c r="D105" i="22" s="1"/>
  <c r="F106" i="22"/>
  <c r="G106" i="22" s="1"/>
  <c r="I107" i="22"/>
  <c r="H106" i="22"/>
  <c r="A105" i="36" l="1"/>
  <c r="E105" i="36"/>
  <c r="D105" i="36" s="1"/>
  <c r="I107" i="36"/>
  <c r="F106" i="36"/>
  <c r="G106" i="36" s="1"/>
  <c r="H106" i="36"/>
  <c r="A106" i="22"/>
  <c r="E106" i="22"/>
  <c r="D106" i="22" s="1"/>
  <c r="I108" i="22"/>
  <c r="F107" i="22"/>
  <c r="G107" i="22" s="1"/>
  <c r="H107" i="22"/>
  <c r="A106" i="36" l="1"/>
  <c r="E106" i="36"/>
  <c r="D106" i="36" s="1"/>
  <c r="I108" i="36"/>
  <c r="F107" i="36"/>
  <c r="G107" i="36" s="1"/>
  <c r="H107" i="36"/>
  <c r="A107" i="22"/>
  <c r="E107" i="22"/>
  <c r="D107" i="22" s="1"/>
  <c r="F108" i="22"/>
  <c r="G108" i="22" s="1"/>
  <c r="H108" i="22"/>
  <c r="I109" i="22"/>
  <c r="A107" i="36" l="1"/>
  <c r="E107" i="36"/>
  <c r="D107" i="36" s="1"/>
  <c r="I109" i="36"/>
  <c r="F108" i="36"/>
  <c r="G108" i="36" s="1"/>
  <c r="H108" i="36"/>
  <c r="A108" i="22"/>
  <c r="E108" i="22"/>
  <c r="D108" i="22" s="1"/>
  <c r="I110" i="22"/>
  <c r="F109" i="22"/>
  <c r="G109" i="22" s="1"/>
  <c r="H109" i="22"/>
  <c r="A108" i="36" l="1"/>
  <c r="E108" i="36"/>
  <c r="D108" i="36" s="1"/>
  <c r="F109" i="36"/>
  <c r="G109" i="36" s="1"/>
  <c r="I110" i="36"/>
  <c r="H109" i="36"/>
  <c r="A109" i="22"/>
  <c r="E109" i="22"/>
  <c r="D109" i="22" s="1"/>
  <c r="F110" i="22"/>
  <c r="G110" i="22" s="1"/>
  <c r="I111" i="22"/>
  <c r="H110" i="22"/>
  <c r="A109" i="36" l="1"/>
  <c r="E109" i="36"/>
  <c r="D109" i="36" s="1"/>
  <c r="I111" i="36"/>
  <c r="F110" i="36"/>
  <c r="G110" i="36" s="1"/>
  <c r="H110" i="36"/>
  <c r="A110" i="22"/>
  <c r="E110" i="22"/>
  <c r="D110" i="22" s="1"/>
  <c r="I112" i="22"/>
  <c r="F111" i="22"/>
  <c r="G111" i="22" s="1"/>
  <c r="H111" i="22"/>
  <c r="A110" i="36" l="1"/>
  <c r="E110" i="36"/>
  <c r="D110" i="36" s="1"/>
  <c r="F111" i="36"/>
  <c r="G111" i="36" s="1"/>
  <c r="H111" i="36"/>
  <c r="A111" i="22"/>
  <c r="E111" i="22"/>
  <c r="D111" i="22" s="1"/>
  <c r="F112" i="22"/>
  <c r="G112" i="22" s="1"/>
  <c r="H112" i="22"/>
  <c r="I113" i="22"/>
  <c r="A111" i="36" l="1"/>
  <c r="E111" i="36"/>
  <c r="D111" i="36" s="1"/>
  <c r="A112" i="22"/>
  <c r="E112" i="22"/>
  <c r="D112" i="22" s="1"/>
  <c r="I114" i="22"/>
  <c r="F113" i="22"/>
  <c r="G113" i="22" s="1"/>
  <c r="H113" i="22"/>
  <c r="A113" i="22" l="1"/>
  <c r="E113" i="22"/>
  <c r="D113" i="22" s="1"/>
  <c r="F114" i="22"/>
  <c r="G114" i="22" s="1"/>
  <c r="H114" i="22"/>
  <c r="A114" i="22" l="1"/>
  <c r="E114" i="22"/>
  <c r="D114" i="22" s="1"/>
</calcChain>
</file>

<file path=xl/sharedStrings.xml><?xml version="1.0" encoding="utf-8"?>
<sst xmlns="http://schemas.openxmlformats.org/spreadsheetml/2006/main" count="594" uniqueCount="359">
  <si>
    <t>2023年</t>
    <rPh sb="4" eb="5">
      <t>ネン</t>
    </rPh>
    <phoneticPr fontId="1"/>
  </si>
  <si>
    <t>1月</t>
    <rPh sb="1" eb="2">
      <t>ツキ</t>
    </rPh>
    <phoneticPr fontId="1"/>
  </si>
  <si>
    <t>2月</t>
  </si>
  <si>
    <t>3月</t>
  </si>
  <si>
    <t>4月</t>
  </si>
  <si>
    <t>5月</t>
  </si>
  <si>
    <t>6月</t>
  </si>
  <si>
    <t>7月</t>
  </si>
  <si>
    <t>8月</t>
  </si>
  <si>
    <t>9月</t>
  </si>
  <si>
    <t>それ以上</t>
    <rPh sb="2" eb="4">
      <t>イジョウ</t>
    </rPh>
    <phoneticPr fontId="1"/>
  </si>
  <si>
    <t>10連敗</t>
    <rPh sb="2" eb="4">
      <t>レンパイ</t>
    </rPh>
    <phoneticPr fontId="1"/>
  </si>
  <si>
    <t>8連敗</t>
    <rPh sb="1" eb="3">
      <t>レンパイ</t>
    </rPh>
    <phoneticPr fontId="1"/>
  </si>
  <si>
    <t>9連敗</t>
    <rPh sb="1" eb="3">
      <t>レンパイ</t>
    </rPh>
    <phoneticPr fontId="1"/>
  </si>
  <si>
    <t>累積損失</t>
    <rPh sb="0" eb="2">
      <t>ルイセキ</t>
    </rPh>
    <rPh sb="2" eb="4">
      <t>ソンシツ</t>
    </rPh>
    <phoneticPr fontId="1"/>
  </si>
  <si>
    <t>SL設定値</t>
    <rPh sb="2" eb="5">
      <t>セッテイチ</t>
    </rPh>
    <phoneticPr fontId="1"/>
  </si>
  <si>
    <t>TP設定値</t>
    <rPh sb="2" eb="5">
      <t>セッテイチ</t>
    </rPh>
    <phoneticPr fontId="1"/>
  </si>
  <si>
    <t>TP利益</t>
    <rPh sb="2" eb="4">
      <t>リエキ</t>
    </rPh>
    <phoneticPr fontId="1"/>
  </si>
  <si>
    <t>SL損失</t>
    <rPh sb="2" eb="4">
      <t>ソンシツ</t>
    </rPh>
    <phoneticPr fontId="1"/>
  </si>
  <si>
    <t>最終損益</t>
    <rPh sb="0" eb="2">
      <t>サイシュウ</t>
    </rPh>
    <rPh sb="2" eb="4">
      <t>ソンエキ</t>
    </rPh>
    <phoneticPr fontId="1"/>
  </si>
  <si>
    <t>③今回ロット入力値↓</t>
    <rPh sb="1" eb="3">
      <t>コンカイ</t>
    </rPh>
    <rPh sb="6" eb="9">
      <t>ニュウリョクチ</t>
    </rPh>
    <phoneticPr fontId="1"/>
  </si>
  <si>
    <t>②「2)ロット倍率」設定値　⇒</t>
    <rPh sb="7" eb="9">
      <t>バイリツ</t>
    </rPh>
    <rPh sb="10" eb="13">
      <t>セッテイチ</t>
    </rPh>
    <phoneticPr fontId="1"/>
  </si>
  <si>
    <t>※自動トレーリングにより利益額は増える可能性があります</t>
    <rPh sb="1" eb="3">
      <t>ジドウ</t>
    </rPh>
    <rPh sb="12" eb="14">
      <t>リエキ</t>
    </rPh>
    <rPh sb="14" eb="15">
      <t>ガク</t>
    </rPh>
    <rPh sb="16" eb="17">
      <t>フ</t>
    </rPh>
    <rPh sb="19" eb="22">
      <t>カノウセイ</t>
    </rPh>
    <phoneticPr fontId="1"/>
  </si>
  <si>
    <t>①「1)ロット」設定値　　　⇒</t>
    <phoneticPr fontId="1"/>
  </si>
  <si>
    <t>取引16回目の設定</t>
    <rPh sb="0" eb="2">
      <t>トリヒキ</t>
    </rPh>
    <rPh sb="4" eb="6">
      <t>カイメ</t>
    </rPh>
    <rPh sb="7" eb="9">
      <t>セッテイ</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</si>
  <si>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</si>
  <si>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</si>
  <si>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</si>
  <si>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</si>
  <si>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</si>
  <si>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</si>
  <si>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</si>
  <si>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</si>
  <si>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11連敗</t>
    <rPh sb="2" eb="4">
      <t>レンパイ</t>
    </rPh>
    <phoneticPr fontId="1"/>
  </si>
  <si>
    <t>12連敗</t>
    <rPh sb="2" eb="4">
      <t>レンパイ</t>
    </rPh>
    <phoneticPr fontId="1"/>
  </si>
  <si>
    <t>13連敗</t>
    <rPh sb="2" eb="4">
      <t>レンパイ</t>
    </rPh>
    <phoneticPr fontId="1"/>
  </si>
  <si>
    <t>14連敗</t>
    <rPh sb="2" eb="4">
      <t>レンパイ</t>
    </rPh>
    <phoneticPr fontId="1"/>
  </si>
  <si>
    <t>15連敗</t>
    <rPh sb="2" eb="4">
      <t>レンパイ</t>
    </rPh>
    <phoneticPr fontId="1"/>
  </si>
  <si>
    <t>16連敗</t>
    <rPh sb="2" eb="4">
      <t>レンパイ</t>
    </rPh>
    <phoneticPr fontId="1"/>
  </si>
  <si>
    <t>9回</t>
    <rPh sb="1" eb="2">
      <t>カイ</t>
    </rPh>
    <phoneticPr fontId="1"/>
  </si>
  <si>
    <t>10回</t>
    <rPh sb="2" eb="3">
      <t>カイ</t>
    </rPh>
    <phoneticPr fontId="1"/>
  </si>
  <si>
    <t>日付</t>
    <rPh sb="0" eb="2">
      <t>ヒヅケ</t>
    </rPh>
    <phoneticPr fontId="1"/>
  </si>
  <si>
    <t>連敗数</t>
    <rPh sb="0" eb="2">
      <t>レンパイ</t>
    </rPh>
    <rPh sb="2" eb="3">
      <t>スウ</t>
    </rPh>
    <phoneticPr fontId="1"/>
  </si>
  <si>
    <t>基準残高入力⇒</t>
    <rPh sb="0" eb="2">
      <t>キジュン</t>
    </rPh>
    <rPh sb="2" eb="4">
      <t>ザンダカ</t>
    </rPh>
    <rPh sb="4" eb="6">
      <t>ニュウリョク</t>
    </rPh>
    <phoneticPr fontId="1"/>
  </si>
  <si>
    <t>参考⇒</t>
    <rPh sb="0" eb="2">
      <t>サンコウ</t>
    </rPh>
    <phoneticPr fontId="1"/>
  </si>
  <si>
    <t>2021は最大13連敗1回発生</t>
    <rPh sb="5" eb="7">
      <t>サイダイ</t>
    </rPh>
    <rPh sb="9" eb="11">
      <t>レンパイ</t>
    </rPh>
    <rPh sb="12" eb="13">
      <t>カイ</t>
    </rPh>
    <rPh sb="13" eb="15">
      <t>ハッセイ</t>
    </rPh>
    <phoneticPr fontId="1"/>
  </si>
  <si>
    <t>20170101～20221231　15連敗以上発生一覧</t>
    <rPh sb="20" eb="22">
      <t>レンパイ</t>
    </rPh>
    <rPh sb="22" eb="24">
      <t>イジョウ</t>
    </rPh>
    <rPh sb="24" eb="26">
      <t>ハッセイ</t>
    </rPh>
    <rPh sb="26" eb="28">
      <t>イチラン</t>
    </rPh>
    <phoneticPr fontId="1"/>
  </si>
  <si>
    <t>2017年6回発生</t>
    <rPh sb="4" eb="5">
      <t>ネン</t>
    </rPh>
    <rPh sb="6" eb="7">
      <t>カイ</t>
    </rPh>
    <rPh sb="7" eb="9">
      <t>ハッセイ</t>
    </rPh>
    <phoneticPr fontId="1"/>
  </si>
  <si>
    <t>2018年1回発生</t>
    <rPh sb="4" eb="5">
      <t>ネン</t>
    </rPh>
    <rPh sb="6" eb="7">
      <t>カイ</t>
    </rPh>
    <rPh sb="7" eb="9">
      <t>ハッセイ</t>
    </rPh>
    <phoneticPr fontId="1"/>
  </si>
  <si>
    <t>2019年2回発生</t>
    <phoneticPr fontId="1"/>
  </si>
  <si>
    <t>2020年5回発生</t>
    <phoneticPr fontId="1"/>
  </si>
  <si>
    <t>2022年4回発生</t>
    <phoneticPr fontId="1"/>
  </si>
  <si>
    <t>※スプレッド1.0pips</t>
    <phoneticPr fontId="1"/>
  </si>
  <si>
    <t>17連敗</t>
    <rPh sb="2" eb="4">
      <t>レンパイ</t>
    </rPh>
    <phoneticPr fontId="1"/>
  </si>
  <si>
    <t>18連敗</t>
    <rPh sb="2" eb="4">
      <t>レンパイ</t>
    </rPh>
    <phoneticPr fontId="1"/>
  </si>
  <si>
    <t>19連敗</t>
    <rPh sb="2" eb="4">
      <t>レンパイ</t>
    </rPh>
    <phoneticPr fontId="1"/>
  </si>
  <si>
    <t>20連敗</t>
    <rPh sb="2" eb="4">
      <t>レンパイ</t>
    </rPh>
    <phoneticPr fontId="1"/>
  </si>
  <si>
    <t>21連敗</t>
    <rPh sb="2" eb="4">
      <t>レンパイ</t>
    </rPh>
    <phoneticPr fontId="1"/>
  </si>
  <si>
    <t>●</t>
    <phoneticPr fontId="1"/>
  </si>
  <si>
    <t>2017年</t>
    <rPh sb="4" eb="5">
      <t>ネン</t>
    </rPh>
    <phoneticPr fontId="1"/>
  </si>
  <si>
    <t>2018年</t>
    <rPh sb="4" eb="5">
      <t>ネン</t>
    </rPh>
    <phoneticPr fontId="1"/>
  </si>
  <si>
    <t>2019年</t>
    <rPh sb="4" eb="5">
      <t>ネン</t>
    </rPh>
    <phoneticPr fontId="1"/>
  </si>
  <si>
    <t>2020年</t>
    <rPh sb="4" eb="5">
      <t>ネン</t>
    </rPh>
    <phoneticPr fontId="1"/>
  </si>
  <si>
    <t>2021年</t>
    <rPh sb="4" eb="5">
      <t>ネン</t>
    </rPh>
    <phoneticPr fontId="1"/>
  </si>
  <si>
    <t>2022年</t>
    <rPh sb="4" eb="5">
      <t>ネン</t>
    </rPh>
    <phoneticPr fontId="1"/>
  </si>
  <si>
    <t>倍率</t>
    <rPh sb="0" eb="2">
      <t>バイリツ</t>
    </rPh>
    <phoneticPr fontId="1"/>
  </si>
  <si>
    <t>15回目取引ロット⇒</t>
    <rPh sb="2" eb="4">
      <t>カイメ</t>
    </rPh>
    <rPh sb="4" eb="6">
      <t>トリヒキ</t>
    </rPh>
    <phoneticPr fontId="1"/>
  </si>
  <si>
    <t>ロット0.03換算の年間利益額</t>
    <rPh sb="7" eb="9">
      <t>カンサン</t>
    </rPh>
    <rPh sb="10" eb="12">
      <t>ネンカン</t>
    </rPh>
    <rPh sb="12" eb="14">
      <t>リエキ</t>
    </rPh>
    <rPh sb="14" eb="15">
      <t>ガク</t>
    </rPh>
    <phoneticPr fontId="1"/>
  </si>
  <si>
    <t>倍率⇒</t>
    <rPh sb="0" eb="2">
      <t>バイリツ</t>
    </rPh>
    <phoneticPr fontId="1"/>
  </si>
  <si>
    <t>連敗対応表</t>
    <rPh sb="0" eb="2">
      <t>レンパイ</t>
    </rPh>
    <rPh sb="2" eb="4">
      <t>タイオウ</t>
    </rPh>
    <rPh sb="4" eb="5">
      <t>ヒョウ</t>
    </rPh>
    <phoneticPr fontId="1"/>
  </si>
  <si>
    <t>1回あたり利益⇒</t>
    <rPh sb="5" eb="7">
      <t>リエキ</t>
    </rPh>
    <phoneticPr fontId="1"/>
  </si>
  <si>
    <t>10回目勝</t>
    <rPh sb="4" eb="5">
      <t>カチ</t>
    </rPh>
    <phoneticPr fontId="1"/>
  </si>
  <si>
    <t>9回目勝</t>
    <rPh sb="3" eb="4">
      <t>カチ</t>
    </rPh>
    <phoneticPr fontId="1"/>
  </si>
  <si>
    <t>8回目勝</t>
    <rPh sb="3" eb="4">
      <t>カチ</t>
    </rPh>
    <phoneticPr fontId="1"/>
  </si>
  <si>
    <t>7回目勝</t>
    <rPh sb="3" eb="4">
      <t>カチ</t>
    </rPh>
    <phoneticPr fontId="1"/>
  </si>
  <si>
    <t>6回目勝</t>
    <rPh sb="3" eb="4">
      <t>カチ</t>
    </rPh>
    <phoneticPr fontId="1"/>
  </si>
  <si>
    <t>5回目勝</t>
    <rPh sb="3" eb="4">
      <t>カチ</t>
    </rPh>
    <phoneticPr fontId="1"/>
  </si>
  <si>
    <t>4回目勝</t>
    <rPh sb="3" eb="4">
      <t>カチ</t>
    </rPh>
    <phoneticPr fontId="1"/>
  </si>
  <si>
    <t>3回目勝</t>
    <rPh sb="3" eb="4">
      <t>カチ</t>
    </rPh>
    <phoneticPr fontId="1"/>
  </si>
  <si>
    <t>2回目勝</t>
    <rPh sb="3" eb="4">
      <t>カチ</t>
    </rPh>
    <phoneticPr fontId="1"/>
  </si>
  <si>
    <t>初回勝</t>
    <rPh sb="2" eb="3">
      <t>カチ</t>
    </rPh>
    <phoneticPr fontId="1"/>
  </si>
  <si>
    <t>レバレッジ</t>
    <phoneticPr fontId="1"/>
  </si>
  <si>
    <t>為替基準</t>
    <rPh sb="0" eb="2">
      <t>カワセ</t>
    </rPh>
    <rPh sb="2" eb="4">
      <t>キジュン</t>
    </rPh>
    <phoneticPr fontId="1"/>
  </si>
  <si>
    <t>基準残高</t>
    <rPh sb="0" eb="4">
      <t>キジュンザンダカ</t>
    </rPh>
    <phoneticPr fontId="1"/>
  </si>
  <si>
    <t>損切基準額</t>
    <rPh sb="0" eb="2">
      <t>ソンキリ</t>
    </rPh>
    <rPh sb="2" eb="4">
      <t>キジュン</t>
    </rPh>
    <rPh sb="4" eb="5">
      <t>ガク</t>
    </rPh>
    <phoneticPr fontId="1"/>
  </si>
  <si>
    <t>利確基準額</t>
    <rPh sb="0" eb="2">
      <t>リカク</t>
    </rPh>
    <rPh sb="2" eb="5">
      <t>キジュンガク</t>
    </rPh>
    <phoneticPr fontId="1"/>
  </si>
  <si>
    <t>損失幅</t>
    <rPh sb="0" eb="2">
      <t>ソンシツ</t>
    </rPh>
    <rPh sb="2" eb="3">
      <t>ハバ</t>
    </rPh>
    <phoneticPr fontId="1"/>
  </si>
  <si>
    <t>利益幅</t>
    <rPh sb="0" eb="3">
      <t>リエキハバ</t>
    </rPh>
    <phoneticPr fontId="1"/>
  </si>
  <si>
    <t>ロット</t>
    <phoneticPr fontId="1"/>
  </si>
  <si>
    <t>必要証拠金目安</t>
    <rPh sb="0" eb="2">
      <t>ヒツヨウ</t>
    </rPh>
    <rPh sb="2" eb="5">
      <t>ショウコキン</t>
    </rPh>
    <rPh sb="5" eb="7">
      <t>メヤス</t>
    </rPh>
    <phoneticPr fontId="1"/>
  </si>
  <si>
    <t>損益累計</t>
    <rPh sb="0" eb="2">
      <t>ソンエキ</t>
    </rPh>
    <rPh sb="2" eb="4">
      <t>ルイケイ</t>
    </rPh>
    <phoneticPr fontId="1"/>
  </si>
  <si>
    <t>回ごと損益額</t>
    <rPh sb="0" eb="1">
      <t>カイ</t>
    </rPh>
    <rPh sb="3" eb="5">
      <t>ソンエキ</t>
    </rPh>
    <rPh sb="5" eb="6">
      <t>ガク</t>
    </rPh>
    <phoneticPr fontId="1"/>
  </si>
  <si>
    <t>残高</t>
    <rPh sb="0" eb="2">
      <t>ザンダカ</t>
    </rPh>
    <phoneticPr fontId="1"/>
  </si>
  <si>
    <t>危険判定</t>
    <rPh sb="0" eb="2">
      <t>キケン</t>
    </rPh>
    <rPh sb="2" eb="4">
      <t>ハンテイ</t>
    </rPh>
    <phoneticPr fontId="1"/>
  </si>
  <si>
    <t>1月あたり利益期待値</t>
    <rPh sb="1" eb="2">
      <t>ツキ</t>
    </rPh>
    <rPh sb="5" eb="7">
      <t>リエキ</t>
    </rPh>
    <rPh sb="7" eb="10">
      <t>キタイチ</t>
    </rPh>
    <phoneticPr fontId="1"/>
  </si>
  <si>
    <t>1日あたり利益期待値</t>
    <rPh sb="1" eb="2">
      <t>ニチ</t>
    </rPh>
    <rPh sb="5" eb="7">
      <t>リエキ</t>
    </rPh>
    <rPh sb="7" eb="10">
      <t>キタイチ</t>
    </rPh>
    <phoneticPr fontId="1"/>
  </si>
  <si>
    <t>1回あたり利益期待値</t>
    <rPh sb="5" eb="7">
      <t>リエキ</t>
    </rPh>
    <rPh sb="7" eb="10">
      <t>キタイチ</t>
    </rPh>
    <phoneticPr fontId="1"/>
  </si>
  <si>
    <r>
      <rPr>
        <b/>
        <sz val="11"/>
        <color theme="1"/>
        <rFont val="游ゴシック"/>
        <family val="3"/>
        <charset val="128"/>
      </rPr>
      <t>⑦</t>
    </r>
    <r>
      <rPr>
        <b/>
        <sz val="11"/>
        <color theme="1"/>
        <rFont val="游ゴシック"/>
        <family val="3"/>
        <charset val="128"/>
        <scheme val="minor"/>
      </rPr>
      <t>レバレッジ</t>
    </r>
    <phoneticPr fontId="1"/>
  </si>
  <si>
    <t>⑥為替基準</t>
    <rPh sb="1" eb="3">
      <t>カワセ</t>
    </rPh>
    <rPh sb="3" eb="5">
      <t>キジュン</t>
    </rPh>
    <phoneticPr fontId="1"/>
  </si>
  <si>
    <t>損切基準額</t>
    <rPh sb="0" eb="2">
      <t>ソンキリ</t>
    </rPh>
    <rPh sb="2" eb="5">
      <t>キジュンガク</t>
    </rPh>
    <phoneticPr fontId="1"/>
  </si>
  <si>
    <t>⑤　倍率</t>
    <rPh sb="2" eb="4">
      <t>バイリツ</t>
    </rPh>
    <phoneticPr fontId="1"/>
  </si>
  <si>
    <t>④SL(損失幅)</t>
    <rPh sb="4" eb="7">
      <t>ソンシツハバ</t>
    </rPh>
    <phoneticPr fontId="1"/>
  </si>
  <si>
    <t>③TP(利益幅)</t>
    <rPh sb="4" eb="7">
      <t>リエキハバ</t>
    </rPh>
    <phoneticPr fontId="1"/>
  </si>
  <si>
    <t>参考　2013年7月19日に26連敗が発生以来、22連敗以上は発生していません。</t>
    <rPh sb="0" eb="2">
      <t>サンコウ</t>
    </rPh>
    <rPh sb="7" eb="8">
      <t>ネン</t>
    </rPh>
    <rPh sb="9" eb="10">
      <t>ツキ</t>
    </rPh>
    <rPh sb="12" eb="13">
      <t>ニチ</t>
    </rPh>
    <rPh sb="16" eb="18">
      <t>レンパイ</t>
    </rPh>
    <rPh sb="19" eb="21">
      <t>ハッセイ</t>
    </rPh>
    <rPh sb="21" eb="23">
      <t>イライ</t>
    </rPh>
    <rPh sb="26" eb="28">
      <t>レンパイ</t>
    </rPh>
    <rPh sb="28" eb="30">
      <t>イジョウ</t>
    </rPh>
    <rPh sb="31" eb="33">
      <t>ハッセイ</t>
    </rPh>
    <phoneticPr fontId="1"/>
  </si>
  <si>
    <t>　　　つまり21連敗まで自動対応する運用法では2013年7月以降はノーリスクということになります。</t>
    <rPh sb="8" eb="10">
      <t>レンパイ</t>
    </rPh>
    <rPh sb="12" eb="14">
      <t>ジドウ</t>
    </rPh>
    <rPh sb="14" eb="16">
      <t>タイオウ</t>
    </rPh>
    <rPh sb="18" eb="21">
      <t>ウンヨウホウ</t>
    </rPh>
    <rPh sb="27" eb="28">
      <t>ネン</t>
    </rPh>
    <rPh sb="29" eb="30">
      <t>ツキ</t>
    </rPh>
    <rPh sb="30" eb="32">
      <t>イコウ</t>
    </rPh>
    <phoneticPr fontId="1"/>
  </si>
  <si>
    <t>参考</t>
    <rPh sb="0" eb="2">
      <t>サンコウ</t>
    </rPh>
    <phoneticPr fontId="1"/>
  </si>
  <si>
    <r>
      <t>スプレッド</t>
    </r>
    <r>
      <rPr>
        <b/>
        <sz val="11"/>
        <color rgb="FFFF0000"/>
        <rFont val="游ゴシック"/>
        <family val="3"/>
        <charset val="128"/>
        <scheme val="minor"/>
      </rPr>
      <t>1.8pips</t>
    </r>
    <r>
      <rPr>
        <sz val="11"/>
        <color theme="1"/>
        <rFont val="游ゴシック"/>
        <family val="2"/>
        <charset val="128"/>
        <scheme val="minor"/>
      </rPr>
      <t>シュミレーション</t>
    </r>
    <phoneticPr fontId="1"/>
  </si>
  <si>
    <r>
      <t>スプレッド</t>
    </r>
    <r>
      <rPr>
        <b/>
        <sz val="11"/>
        <color rgb="FFFF0000"/>
        <rFont val="游ゴシック"/>
        <family val="3"/>
        <charset val="128"/>
        <scheme val="minor"/>
      </rPr>
      <t>1.0pips</t>
    </r>
    <r>
      <rPr>
        <sz val="11"/>
        <color theme="1"/>
        <rFont val="游ゴシック"/>
        <family val="2"/>
        <charset val="128"/>
        <scheme val="minor"/>
      </rPr>
      <t>シュミレーション　8連敗以上出現表</t>
    </r>
    <rPh sb="22" eb="24">
      <t>レンパイ</t>
    </rPh>
    <rPh sb="24" eb="26">
      <t>イジョウ</t>
    </rPh>
    <rPh sb="26" eb="28">
      <t>シュツゲン</t>
    </rPh>
    <rPh sb="28" eb="29">
      <t>ヒョウ</t>
    </rPh>
    <phoneticPr fontId="1"/>
  </si>
  <si>
    <t>平均スプレッドが低いほど連敗しにくくなり利益決済額が増えます。以下の表では平均1.8pipsの場合の連敗出現数を表示しています。</t>
    <rPh sb="0" eb="2">
      <t>ヘイキン</t>
    </rPh>
    <rPh sb="8" eb="9">
      <t>ヒク</t>
    </rPh>
    <rPh sb="12" eb="14">
      <t>レンパイ</t>
    </rPh>
    <rPh sb="20" eb="22">
      <t>リエキ</t>
    </rPh>
    <rPh sb="22" eb="24">
      <t>ケッサイ</t>
    </rPh>
    <rPh sb="24" eb="25">
      <t>ガク</t>
    </rPh>
    <rPh sb="26" eb="27">
      <t>フ</t>
    </rPh>
    <rPh sb="31" eb="33">
      <t>イカ</t>
    </rPh>
    <rPh sb="34" eb="35">
      <t>ヒョウ</t>
    </rPh>
    <rPh sb="37" eb="39">
      <t>ヘイキン</t>
    </rPh>
    <rPh sb="47" eb="49">
      <t>バアイ</t>
    </rPh>
    <rPh sb="50" eb="52">
      <t>レンパイ</t>
    </rPh>
    <rPh sb="52" eb="54">
      <t>シュツゲン</t>
    </rPh>
    <rPh sb="54" eb="55">
      <t>スウ</t>
    </rPh>
    <rPh sb="56" eb="58">
      <t>ヒョウジ</t>
    </rPh>
    <phoneticPr fontId="1"/>
  </si>
  <si>
    <t>1) ロット</t>
    <phoneticPr fontId="1"/>
  </si>
  <si>
    <t>2) ロット倍率</t>
    <phoneticPr fontId="1"/>
  </si>
  <si>
    <t>3) エントリー種別</t>
    <phoneticPr fontId="1"/>
  </si>
  <si>
    <t>4) TP　pips</t>
    <phoneticPr fontId="1"/>
  </si>
  <si>
    <t>5) SL　pips</t>
    <phoneticPr fontId="1"/>
  </si>
  <si>
    <t>6) リカバリー(連敗数指定)スタート　ON・OFF</t>
    <phoneticPr fontId="1"/>
  </si>
  <si>
    <t>7) スタート連敗数</t>
    <phoneticPr fontId="1"/>
  </si>
  <si>
    <t>8) 自動トレーリング ON・OFF</t>
    <phoneticPr fontId="1"/>
  </si>
  <si>
    <t>9) ロスカット防止自動停止 ON・OFF</t>
    <phoneticPr fontId="1"/>
  </si>
  <si>
    <t>10) 停止連敗数設定</t>
    <phoneticPr fontId="1"/>
  </si>
  <si>
    <t>11) 簡単複利運用モード ON・OFF</t>
    <phoneticPr fontId="1"/>
  </si>
  <si>
    <t>12) 複利運用目標残高</t>
    <phoneticPr fontId="1"/>
  </si>
  <si>
    <t>13) LINE通知(エントリー) ON・OFF</t>
    <phoneticPr fontId="1"/>
  </si>
  <si>
    <t>14) LINE通知(決済) ON・OFF</t>
    <phoneticPr fontId="1"/>
  </si>
  <si>
    <t>15) LINE通知(ロスカット防止一時停止) ON・OFF</t>
    <phoneticPr fontId="1"/>
  </si>
  <si>
    <t>16) LINE通知(複利運用目標達成) ON・OFF</t>
    <phoneticPr fontId="1"/>
  </si>
  <si>
    <t>17) LINE通知(デイリー口座残高増減) ON・OFF</t>
    <phoneticPr fontId="1"/>
  </si>
  <si>
    <t>18) LineNotifyで発行したトークン</t>
    <phoneticPr fontId="1"/>
  </si>
  <si>
    <t>19) マジックナンバー</t>
    <phoneticPr fontId="1"/>
  </si>
  <si>
    <t>20) スプレッドフィルター Pips</t>
    <phoneticPr fontId="1"/>
  </si>
  <si>
    <t>21) スリップページ　Point</t>
    <phoneticPr fontId="1"/>
  </si>
  <si>
    <t>22) コメント</t>
    <phoneticPr fontId="1"/>
  </si>
  <si>
    <t>23) 時差(サマータイム6それ以外7)</t>
    <phoneticPr fontId="1"/>
  </si>
  <si>
    <t>24) 週末エントリー停止設定</t>
    <phoneticPr fontId="1"/>
  </si>
  <si>
    <t>25) 週末エントリー停止時間(日本時間)</t>
    <phoneticPr fontId="1"/>
  </si>
  <si>
    <t>26) 週初めエントリー再開設定</t>
    <phoneticPr fontId="1"/>
  </si>
  <si>
    <t>27) 週初めエントリー再開時間(日本時間)</t>
    <phoneticPr fontId="1"/>
  </si>
  <si>
    <t>28) エントリー時間別優先制御(日本時間)</t>
    <phoneticPr fontId="1"/>
  </si>
  <si>
    <t>28-1) 0時</t>
    <phoneticPr fontId="1"/>
  </si>
  <si>
    <t>OFF</t>
    <phoneticPr fontId="1"/>
  </si>
  <si>
    <t>24)がOFFの時は設定の必要がありません</t>
    <rPh sb="8" eb="9">
      <t>トキ</t>
    </rPh>
    <rPh sb="10" eb="12">
      <t>セッテイ</t>
    </rPh>
    <rPh sb="13" eb="15">
      <t>ヒツヨウ</t>
    </rPh>
    <phoneticPr fontId="1"/>
  </si>
  <si>
    <t>26)がOFFの時は設定の必要がありません</t>
    <rPh sb="8" eb="9">
      <t>トキ</t>
    </rPh>
    <rPh sb="10" eb="12">
      <t>セッテイ</t>
    </rPh>
    <rPh sb="13" eb="15">
      <t>ヒツヨウ</t>
    </rPh>
    <phoneticPr fontId="1"/>
  </si>
  <si>
    <t>1.01(ゼロ口座の場合)・1.81(プレミアム口座の場合)</t>
    <rPh sb="7" eb="9">
      <t>コウザ</t>
    </rPh>
    <rPh sb="10" eb="12">
      <t>バアイ</t>
    </rPh>
    <rPh sb="24" eb="26">
      <t>コウザ</t>
    </rPh>
    <rPh sb="27" eb="29">
      <t>バアイ</t>
    </rPh>
    <phoneticPr fontId="1"/>
  </si>
  <si>
    <t>変更の必要が無ければそのままで</t>
    <rPh sb="0" eb="2">
      <t>ヘンコウ</t>
    </rPh>
    <rPh sb="3" eb="5">
      <t>ヒツヨウ</t>
    </rPh>
    <rPh sb="6" eb="7">
      <t>ナ</t>
    </rPh>
    <phoneticPr fontId="1"/>
  </si>
  <si>
    <t>LINENotifyへの登録はマニュアル参照</t>
    <rPh sb="12" eb="14">
      <t>トウロク</t>
    </rPh>
    <rPh sb="20" eb="22">
      <t>サンショウ</t>
    </rPh>
    <phoneticPr fontId="1"/>
  </si>
  <si>
    <t>ON</t>
    <phoneticPr fontId="1"/>
  </si>
  <si>
    <t>6)がOFFの時は設定の必要がありません</t>
    <rPh sb="7" eb="8">
      <t>トキ</t>
    </rPh>
    <rPh sb="9" eb="11">
      <t>セッテイ</t>
    </rPh>
    <rPh sb="12" eb="14">
      <t>ヒツヨウ</t>
    </rPh>
    <phoneticPr fontId="1"/>
  </si>
  <si>
    <t>以下の時間ごと設定は必要ありません。</t>
    <rPh sb="0" eb="2">
      <t>イカ</t>
    </rPh>
    <rPh sb="3" eb="5">
      <t>ジカン</t>
    </rPh>
    <rPh sb="7" eb="9">
      <t>セッテイ</t>
    </rPh>
    <rPh sb="10" eb="12">
      <t>ヒツヨウ</t>
    </rPh>
    <phoneticPr fontId="1"/>
  </si>
  <si>
    <t>10月</t>
    <rPh sb="2" eb="3">
      <t>ツキ</t>
    </rPh>
    <phoneticPr fontId="1"/>
  </si>
  <si>
    <t>パラメーター設定一覧</t>
    <rPh sb="6" eb="8">
      <t>セッテイ</t>
    </rPh>
    <rPh sb="8" eb="10">
      <t>イチラン</t>
    </rPh>
    <phoneticPr fontId="1"/>
  </si>
  <si>
    <t>ロング　※一般的に円高傾向の時はロング・円安傾向の時はショート</t>
    <rPh sb="0" eb="31">
      <t>キホンテキニンイ</t>
    </rPh>
    <phoneticPr fontId="1"/>
  </si>
  <si>
    <t>変更の必要が無ければそのまま</t>
    <rPh sb="0" eb="2">
      <t>ヘンコウ</t>
    </rPh>
    <rPh sb="3" eb="5">
      <t>ヒツヨウ</t>
    </rPh>
    <rPh sb="6" eb="7">
      <t>ナ</t>
    </rPh>
    <phoneticPr fontId="1"/>
  </si>
  <si>
    <t>ON　※必ずONにしてください</t>
    <rPh sb="4" eb="5">
      <t>カナラ</t>
    </rPh>
    <phoneticPr fontId="1"/>
  </si>
  <si>
    <t>6(サマータイム)・左記以外の期間は7</t>
    <rPh sb="10" eb="12">
      <t>サキ</t>
    </rPh>
    <rPh sb="12" eb="14">
      <t>イガイ</t>
    </rPh>
    <rPh sb="15" eb="17">
      <t>キカン</t>
    </rPh>
    <phoneticPr fontId="1"/>
  </si>
  <si>
    <t>シート「残高・ロット・設定一覧」を参照</t>
    <rPh sb="4" eb="6">
      <t>ザンダカ</t>
    </rPh>
    <rPh sb="11" eb="13">
      <t>セッテイ</t>
    </rPh>
    <rPh sb="13" eb="15">
      <t>イチラン</t>
    </rPh>
    <rPh sb="17" eb="19">
      <t>サンショウ</t>
    </rPh>
    <phoneticPr fontId="1"/>
  </si>
  <si>
    <t>シート「はじめに」「残高・ロット・設定一覧」を参照</t>
    <rPh sb="10" eb="12">
      <t>ザンダカ</t>
    </rPh>
    <rPh sb="17" eb="19">
      <t>セッテイ</t>
    </rPh>
    <rPh sb="19" eb="21">
      <t>イチラン</t>
    </rPh>
    <rPh sb="23" eb="25">
      <t>サンショウ</t>
    </rPh>
    <phoneticPr fontId="1"/>
  </si>
  <si>
    <t>12連敗放置運用法の場合は12・〇連敗の〇を入力します</t>
    <rPh sb="2" eb="4">
      <t>レンパイ</t>
    </rPh>
    <rPh sb="4" eb="6">
      <t>ホウチ</t>
    </rPh>
    <rPh sb="6" eb="9">
      <t>ウンヨウホウ</t>
    </rPh>
    <rPh sb="10" eb="12">
      <t>バアイ</t>
    </rPh>
    <rPh sb="17" eb="19">
      <t>レンパイ</t>
    </rPh>
    <rPh sb="22" eb="24">
      <t>ニュウリョク</t>
    </rPh>
    <phoneticPr fontId="1"/>
  </si>
  <si>
    <t>資金別運用法ロードマップ</t>
    <rPh sb="0" eb="2">
      <t>シキン</t>
    </rPh>
    <rPh sb="2" eb="3">
      <t>ベツ</t>
    </rPh>
    <rPh sb="3" eb="5">
      <t>ウンヨウ</t>
    </rPh>
    <rPh sb="5" eb="6">
      <t>ホウ</t>
    </rPh>
    <phoneticPr fontId="1"/>
  </si>
  <si>
    <t>運用法マニュアルをお持ちでない方はこちらからダウンロードできます</t>
    <rPh sb="0" eb="3">
      <t>ウンヨウホウ</t>
    </rPh>
    <rPh sb="10" eb="11">
      <t>モ</t>
    </rPh>
    <rPh sb="15" eb="16">
      <t>カタ</t>
    </rPh>
    <phoneticPr fontId="1"/>
  </si>
  <si>
    <t>※一般的に円高傾向の時はショート・円安傾向の時はロングにすると連敗数が減り利益を獲得しやすくなります</t>
    <phoneticPr fontId="1"/>
  </si>
  <si>
    <t>6連敗</t>
    <rPh sb="1" eb="3">
      <t>レンパイ</t>
    </rPh>
    <phoneticPr fontId="1"/>
  </si>
  <si>
    <t>2倍</t>
    <rPh sb="1" eb="2">
      <t>バイ</t>
    </rPh>
    <phoneticPr fontId="1"/>
  </si>
  <si>
    <t>7連敗</t>
    <rPh sb="1" eb="3">
      <t>レンパイ</t>
    </rPh>
    <phoneticPr fontId="1"/>
  </si>
  <si>
    <t>22連敗</t>
    <rPh sb="2" eb="4">
      <t>レンパイ</t>
    </rPh>
    <phoneticPr fontId="1"/>
  </si>
  <si>
    <t>次取引ロット</t>
    <rPh sb="0" eb="1">
      <t>ツギ</t>
    </rPh>
    <rPh sb="1" eb="3">
      <t>トリヒキ</t>
    </rPh>
    <phoneticPr fontId="1"/>
  </si>
  <si>
    <t>設定値通り</t>
    <rPh sb="0" eb="3">
      <t>セッテイチ</t>
    </rPh>
    <rPh sb="3" eb="4">
      <t>トオ</t>
    </rPh>
    <phoneticPr fontId="1"/>
  </si>
  <si>
    <t>イーブンTP</t>
    <phoneticPr fontId="1"/>
  </si>
  <si>
    <t>2.5倍</t>
    <rPh sb="3" eb="4">
      <t>バイ</t>
    </rPh>
    <phoneticPr fontId="1"/>
  </si>
  <si>
    <t>3倍</t>
    <rPh sb="1" eb="2">
      <t>バイ</t>
    </rPh>
    <phoneticPr fontId="1"/>
  </si>
  <si>
    <t>2)表に〇連敗した時の〇回目の取引時のロットと累積損失が表示されます。(例:6連敗した時は6回目の取引ロットと6連敗した時の累積損失が表示されます)</t>
    <phoneticPr fontId="1"/>
  </si>
  <si>
    <t>3)次取引ロットの列にC列のロットにそれぞれE列:設定値・G列:2倍・I列倍・K列3倍したロットが表示されます。</t>
    <rPh sb="2" eb="5">
      <t>ツギトリヒキ</t>
    </rPh>
    <rPh sb="9" eb="10">
      <t>レツ</t>
    </rPh>
    <rPh sb="12" eb="13">
      <t>レツ</t>
    </rPh>
    <rPh sb="23" eb="24">
      <t>レツ</t>
    </rPh>
    <rPh sb="25" eb="28">
      <t>セッテイチ</t>
    </rPh>
    <rPh sb="30" eb="31">
      <t>レツ</t>
    </rPh>
    <rPh sb="33" eb="34">
      <t>バイ</t>
    </rPh>
    <rPh sb="36" eb="37">
      <t>レツ</t>
    </rPh>
    <rPh sb="37" eb="38">
      <t>バイ</t>
    </rPh>
    <rPh sb="40" eb="41">
      <t>レツ</t>
    </rPh>
    <rPh sb="42" eb="43">
      <t>バイ</t>
    </rPh>
    <rPh sb="49" eb="51">
      <t>ヒョウジ</t>
    </rPh>
    <phoneticPr fontId="1"/>
  </si>
  <si>
    <t>4)例えば次の取引をE列のロット数にてエントリーした場合、F列のTP値(設定)にて利益決済すればこれまでの累積損失を回収することができます。</t>
    <rPh sb="2" eb="3">
      <t>タト</t>
    </rPh>
    <rPh sb="5" eb="6">
      <t>ツギ</t>
    </rPh>
    <rPh sb="7" eb="9">
      <t>トリヒキ</t>
    </rPh>
    <rPh sb="11" eb="12">
      <t>レツ</t>
    </rPh>
    <rPh sb="16" eb="17">
      <t>スウ</t>
    </rPh>
    <rPh sb="26" eb="28">
      <t>バアイ</t>
    </rPh>
    <rPh sb="30" eb="31">
      <t>レツ</t>
    </rPh>
    <rPh sb="34" eb="35">
      <t>アタイ</t>
    </rPh>
    <rPh sb="36" eb="38">
      <t>セッテイ</t>
    </rPh>
    <rPh sb="41" eb="43">
      <t>リエキ</t>
    </rPh>
    <rPh sb="43" eb="45">
      <t>ケッサイ</t>
    </rPh>
    <rPh sb="53" eb="55">
      <t>ルイセキ</t>
    </rPh>
    <rPh sb="55" eb="57">
      <t>ソンシツ</t>
    </rPh>
    <rPh sb="58" eb="60">
      <t>カイシュウ</t>
    </rPh>
    <phoneticPr fontId="1"/>
  </si>
  <si>
    <t>　G列・I列・K列と取引ロットが大きくなればなるほど(累積損失を)イーブンにするために必要なTP値が小さくなります。</t>
    <rPh sb="2" eb="3">
      <t>レツ</t>
    </rPh>
    <rPh sb="5" eb="6">
      <t>レツ</t>
    </rPh>
    <rPh sb="8" eb="9">
      <t>レツ</t>
    </rPh>
    <rPh sb="10" eb="12">
      <t>トリヒキ</t>
    </rPh>
    <rPh sb="16" eb="17">
      <t>オオ</t>
    </rPh>
    <rPh sb="27" eb="29">
      <t>ルイセキ</t>
    </rPh>
    <rPh sb="29" eb="31">
      <t>ソンシツ</t>
    </rPh>
    <rPh sb="43" eb="45">
      <t>ヒツヨウ</t>
    </rPh>
    <rPh sb="48" eb="49">
      <t>アタイ</t>
    </rPh>
    <rPh sb="50" eb="51">
      <t>チイ</t>
    </rPh>
    <phoneticPr fontId="1"/>
  </si>
  <si>
    <t>　通常のTP設定が26pipsですので設定TP値(必要TP値)が小さくければなるほどTP決済=利益決済しやすくなり連敗が止まります。</t>
    <rPh sb="1" eb="3">
      <t>ツウジョウ</t>
    </rPh>
    <rPh sb="6" eb="8">
      <t>セッテイ</t>
    </rPh>
    <rPh sb="19" eb="21">
      <t>セッテイ</t>
    </rPh>
    <rPh sb="23" eb="24">
      <t>アタイ</t>
    </rPh>
    <rPh sb="25" eb="27">
      <t>ヒツヨウ</t>
    </rPh>
    <rPh sb="29" eb="30">
      <t>アタイ</t>
    </rPh>
    <rPh sb="32" eb="33">
      <t>チイ</t>
    </rPh>
    <rPh sb="44" eb="46">
      <t>ケッサイ</t>
    </rPh>
    <rPh sb="47" eb="49">
      <t>リエキ</t>
    </rPh>
    <rPh sb="49" eb="51">
      <t>ケッサイ</t>
    </rPh>
    <rPh sb="57" eb="59">
      <t>レンパイ</t>
    </rPh>
    <rPh sb="60" eb="61">
      <t>ト</t>
    </rPh>
    <phoneticPr fontId="1"/>
  </si>
  <si>
    <r>
      <t>　</t>
    </r>
    <r>
      <rPr>
        <sz val="11"/>
        <color rgb="FFFF0000"/>
        <rFont val="游ゴシック"/>
        <family val="3"/>
        <charset val="128"/>
        <scheme val="minor"/>
      </rPr>
      <t>但し、取引ロットが大きくなればなるほどSL決済=損失決済の場合の損失額は大きくなります。</t>
    </r>
    <rPh sb="1" eb="2">
      <t>タダ</t>
    </rPh>
    <rPh sb="4" eb="6">
      <t>トリヒキ</t>
    </rPh>
    <rPh sb="10" eb="11">
      <t>オオ</t>
    </rPh>
    <rPh sb="22" eb="24">
      <t>ケッサイ</t>
    </rPh>
    <rPh sb="25" eb="27">
      <t>ソンシツ</t>
    </rPh>
    <rPh sb="27" eb="29">
      <t>ケッサイ</t>
    </rPh>
    <rPh sb="30" eb="32">
      <t>バアイ</t>
    </rPh>
    <rPh sb="33" eb="36">
      <t>ソンシツガク</t>
    </rPh>
    <rPh sb="37" eb="38">
      <t>オオ</t>
    </rPh>
    <phoneticPr fontId="1"/>
  </si>
  <si>
    <t>　G列の2倍ロット程度でもTP26pipsよりイーブンに必要なTP値がかなり小さくなりますので効果が出やすいと考えられます。</t>
    <rPh sb="2" eb="3">
      <t>レツ</t>
    </rPh>
    <rPh sb="5" eb="6">
      <t>バイ</t>
    </rPh>
    <rPh sb="9" eb="11">
      <t>テイド</t>
    </rPh>
    <rPh sb="28" eb="30">
      <t>ヒツヨウ</t>
    </rPh>
    <rPh sb="33" eb="34">
      <t>アタイ</t>
    </rPh>
    <rPh sb="38" eb="39">
      <t>チイ</t>
    </rPh>
    <rPh sb="47" eb="49">
      <t>コウカ</t>
    </rPh>
    <rPh sb="50" eb="51">
      <t>デ</t>
    </rPh>
    <rPh sb="55" eb="56">
      <t>カンガ</t>
    </rPh>
    <phoneticPr fontId="1"/>
  </si>
  <si>
    <t>本表を使用すると少なくとも累積損失分を取り返すためのロットとTPの設定が判明します。</t>
    <rPh sb="0" eb="1">
      <t>ホン</t>
    </rPh>
    <rPh sb="1" eb="2">
      <t>ヒョウ</t>
    </rPh>
    <rPh sb="3" eb="5">
      <t>シヨウ</t>
    </rPh>
    <rPh sb="8" eb="9">
      <t>スク</t>
    </rPh>
    <rPh sb="13" eb="15">
      <t>ルイセキ</t>
    </rPh>
    <rPh sb="15" eb="17">
      <t>ソンシツ</t>
    </rPh>
    <rPh sb="17" eb="18">
      <t>ブン</t>
    </rPh>
    <rPh sb="19" eb="20">
      <t>ト</t>
    </rPh>
    <rPh sb="21" eb="22">
      <t>カエ</t>
    </rPh>
    <rPh sb="33" eb="35">
      <t>セッテイ</t>
    </rPh>
    <rPh sb="36" eb="38">
      <t>ハンメイ</t>
    </rPh>
    <phoneticPr fontId="1"/>
  </si>
  <si>
    <t>ロットTP計算(ロットとTP値を入力すると決済金額が判明します)</t>
    <rPh sb="5" eb="7">
      <t>ケイサン</t>
    </rPh>
    <rPh sb="14" eb="15">
      <t>アタイ</t>
    </rPh>
    <rPh sb="16" eb="18">
      <t>ニュウリョク</t>
    </rPh>
    <rPh sb="21" eb="23">
      <t>ケッサイ</t>
    </rPh>
    <rPh sb="23" eb="25">
      <t>キンガク</t>
    </rPh>
    <rPh sb="26" eb="28">
      <t>ハンメイ</t>
    </rPh>
    <phoneticPr fontId="1"/>
  </si>
  <si>
    <t>ロットエントリーで</t>
    <phoneticPr fontId="1"/>
  </si>
  <si>
    <r>
      <rPr>
        <sz val="11"/>
        <color theme="1"/>
        <rFont val="Segoe UI Symbol"/>
        <family val="2"/>
      </rPr>
      <t>👆</t>
    </r>
    <r>
      <rPr>
        <sz val="11"/>
        <color theme="1"/>
        <rFont val="游ゴシック"/>
        <family val="2"/>
        <charset val="128"/>
        <scheme val="minor"/>
      </rPr>
      <t>にロット数を入力</t>
    </r>
    <rPh sb="6" eb="7">
      <t>スウ</t>
    </rPh>
    <rPh sb="8" eb="10">
      <t>ニュウリョク</t>
    </rPh>
    <phoneticPr fontId="1"/>
  </si>
  <si>
    <r>
      <rPr>
        <sz val="11"/>
        <color theme="1"/>
        <rFont val="Segoe UI Symbol"/>
        <family val="2"/>
      </rPr>
      <t>👆</t>
    </r>
    <r>
      <rPr>
        <sz val="11"/>
        <color theme="1"/>
        <rFont val="游ゴシック"/>
        <family val="2"/>
        <charset val="128"/>
        <scheme val="minor"/>
      </rPr>
      <t>にTP値を入力</t>
    </r>
    <rPh sb="5" eb="6">
      <t>アタイ</t>
    </rPh>
    <rPh sb="7" eb="9">
      <t>ニュウリョク</t>
    </rPh>
    <phoneticPr fontId="1"/>
  </si>
  <si>
    <t>円の獲得となります。</t>
    <rPh sb="0" eb="1">
      <t>エン</t>
    </rPh>
    <rPh sb="2" eb="4">
      <t>カクトク</t>
    </rPh>
    <phoneticPr fontId="1"/>
  </si>
  <si>
    <t>　※次の取引で〇ロットでエントリーして、少なくともこれまでの累計損失を取り返すための設定すべきTP値がわかります。</t>
    <rPh sb="2" eb="3">
      <t>ツギ</t>
    </rPh>
    <rPh sb="4" eb="6">
      <t>トリヒキ</t>
    </rPh>
    <rPh sb="20" eb="21">
      <t>スク</t>
    </rPh>
    <rPh sb="30" eb="32">
      <t>ルイケイ</t>
    </rPh>
    <rPh sb="32" eb="34">
      <t>ソンシツ</t>
    </rPh>
    <rPh sb="35" eb="36">
      <t>ト</t>
    </rPh>
    <rPh sb="37" eb="38">
      <t>カエ</t>
    </rPh>
    <rPh sb="42" eb="44">
      <t>セッテイ</t>
    </rPh>
    <rPh sb="49" eb="50">
      <t>アタイ</t>
    </rPh>
    <phoneticPr fontId="1"/>
  </si>
  <si>
    <t>本シートの使い方</t>
    <rPh sb="0" eb="1">
      <t>ホン</t>
    </rPh>
    <rPh sb="5" eb="6">
      <t>ツカ</t>
    </rPh>
    <rPh sb="7" eb="8">
      <t>カタ</t>
    </rPh>
    <phoneticPr fontId="1"/>
  </si>
  <si>
    <r>
      <rPr>
        <sz val="11"/>
        <color theme="1"/>
        <rFont val="Segoe UI Symbol"/>
        <family val="2"/>
      </rPr>
      <t>👆</t>
    </r>
    <r>
      <rPr>
        <sz val="11"/>
        <color theme="1"/>
        <rFont val="游ゴシック"/>
        <family val="2"/>
        <charset val="128"/>
      </rPr>
      <t>にマイナス数値を入力すると</t>
    </r>
    <r>
      <rPr>
        <sz val="11"/>
        <color theme="1"/>
        <rFont val="Calibri"/>
        <family val="2"/>
      </rPr>
      <t>SL</t>
    </r>
    <r>
      <rPr>
        <sz val="11"/>
        <color theme="1"/>
        <rFont val="游ゴシック"/>
        <family val="2"/>
        <charset val="128"/>
      </rPr>
      <t>値となります</t>
    </r>
    <rPh sb="7" eb="9">
      <t>スウチ</t>
    </rPh>
    <rPh sb="10" eb="12">
      <t>ニュウリョク</t>
    </rPh>
    <rPh sb="17" eb="18">
      <t>アタイ</t>
    </rPh>
    <phoneticPr fontId="1"/>
  </si>
  <si>
    <t>pipsの決済で</t>
    <rPh sb="5" eb="7">
      <t>ケッサイ</t>
    </rPh>
    <phoneticPr fontId="1"/>
  </si>
  <si>
    <t>　※倍率設定1.5以下の場合、次取引ロット設定値通りの場合は、イーブンTPが26pipsより大きくなります。</t>
    <rPh sb="2" eb="4">
      <t>バイリツ</t>
    </rPh>
    <rPh sb="4" eb="6">
      <t>セッテイ</t>
    </rPh>
    <rPh sb="9" eb="11">
      <t>イカ</t>
    </rPh>
    <rPh sb="12" eb="14">
      <t>バアイ</t>
    </rPh>
    <rPh sb="15" eb="16">
      <t>ツギ</t>
    </rPh>
    <rPh sb="16" eb="18">
      <t>トリヒキ</t>
    </rPh>
    <rPh sb="21" eb="24">
      <t>セッテイチ</t>
    </rPh>
    <rPh sb="24" eb="25">
      <t>トオ</t>
    </rPh>
    <rPh sb="27" eb="29">
      <t>バアイ</t>
    </rPh>
    <rPh sb="46" eb="47">
      <t>オオ</t>
    </rPh>
    <phoneticPr fontId="1"/>
  </si>
  <si>
    <t>　この場合、TPを18～20に設定し、累積損失を完全回収するより損失率をかなり下げることを目的とします。</t>
    <rPh sb="3" eb="5">
      <t>バアイ</t>
    </rPh>
    <rPh sb="15" eb="17">
      <t>セッテイ</t>
    </rPh>
    <rPh sb="19" eb="21">
      <t>ルイセキ</t>
    </rPh>
    <rPh sb="21" eb="23">
      <t>ソンシツ</t>
    </rPh>
    <rPh sb="24" eb="26">
      <t>カンゼン</t>
    </rPh>
    <rPh sb="26" eb="28">
      <t>カイシュウ</t>
    </rPh>
    <rPh sb="32" eb="34">
      <t>ソンシツ</t>
    </rPh>
    <rPh sb="34" eb="35">
      <t>リツ</t>
    </rPh>
    <rPh sb="39" eb="40">
      <t>サ</t>
    </rPh>
    <rPh sb="45" eb="47">
      <t>モクテキ</t>
    </rPh>
    <phoneticPr fontId="1"/>
  </si>
  <si>
    <t>耐連敗数</t>
    <rPh sb="0" eb="1">
      <t>タイ</t>
    </rPh>
    <rPh sb="1" eb="3">
      <t>レンパイ</t>
    </rPh>
    <rPh sb="3" eb="4">
      <t>スウ</t>
    </rPh>
    <phoneticPr fontId="1"/>
  </si>
  <si>
    <t>レベル1</t>
    <phoneticPr fontId="1"/>
  </si>
  <si>
    <t>レベル5</t>
    <phoneticPr fontId="1"/>
  </si>
  <si>
    <t>残高に対する損失率</t>
    <rPh sb="0" eb="2">
      <t>ザンダカ</t>
    </rPh>
    <rPh sb="3" eb="4">
      <t>タイ</t>
    </rPh>
    <rPh sb="8" eb="9">
      <t>リツ</t>
    </rPh>
    <phoneticPr fontId="1"/>
  </si>
  <si>
    <t>バックテスト</t>
    <phoneticPr fontId="1"/>
  </si>
  <si>
    <t>運用資金額</t>
    <rPh sb="0" eb="2">
      <t>ウンヨウ</t>
    </rPh>
    <rPh sb="2" eb="4">
      <t>シキン</t>
    </rPh>
    <rPh sb="4" eb="5">
      <t>ガク</t>
    </rPh>
    <phoneticPr fontId="1"/>
  </si>
  <si>
    <t>時短運用法・推奨最低入金額</t>
    <rPh sb="0" eb="2">
      <t>ジタン</t>
    </rPh>
    <rPh sb="2" eb="5">
      <t>ウンヨウホウ</t>
    </rPh>
    <rPh sb="6" eb="8">
      <t>スイショウ</t>
    </rPh>
    <rPh sb="8" eb="10">
      <t>サイテイ</t>
    </rPh>
    <rPh sb="10" eb="12">
      <t>ニュウキン</t>
    </rPh>
    <rPh sb="12" eb="13">
      <t>ガク</t>
    </rPh>
    <phoneticPr fontId="1"/>
  </si>
  <si>
    <t>複利目標金額</t>
    <rPh sb="0" eb="2">
      <t>フクリ</t>
    </rPh>
    <rPh sb="2" eb="4">
      <t>モクヒョウ</t>
    </rPh>
    <rPh sb="4" eb="6">
      <t>キンガク</t>
    </rPh>
    <phoneticPr fontId="1"/>
  </si>
  <si>
    <t>運用ロット</t>
    <rPh sb="0" eb="2">
      <t>ウンヨウ</t>
    </rPh>
    <phoneticPr fontId="1"/>
  </si>
  <si>
    <t>複利目標金額</t>
    <rPh sb="0" eb="4">
      <t>フクリモクヒョウ</t>
    </rPh>
    <rPh sb="4" eb="6">
      <t>キンガク</t>
    </rPh>
    <phoneticPr fontId="1"/>
  </si>
  <si>
    <t>ロット増加0.001ずつ増加の場合</t>
    <rPh sb="3" eb="5">
      <t>ゾウカ</t>
    </rPh>
    <rPh sb="12" eb="14">
      <t>ゾウカ</t>
    </rPh>
    <rPh sb="15" eb="17">
      <t>バアイ</t>
    </rPh>
    <phoneticPr fontId="1"/>
  </si>
  <si>
    <t>ロット増加0.0001ずつの場合</t>
    <rPh sb="3" eb="5">
      <t>ゾウカ</t>
    </rPh>
    <rPh sb="14" eb="16">
      <t>バアイ</t>
    </rPh>
    <phoneticPr fontId="1"/>
  </si>
  <si>
    <t>④26万円～41万円</t>
    <rPh sb="3" eb="5">
      <t>マンエン</t>
    </rPh>
    <rPh sb="8" eb="9">
      <t>マン</t>
    </rPh>
    <rPh sb="9" eb="10">
      <t>エン</t>
    </rPh>
    <phoneticPr fontId="1"/>
  </si>
  <si>
    <r>
      <t>耐連敗数</t>
    </r>
    <r>
      <rPr>
        <sz val="9"/>
        <color theme="1"/>
        <rFont val="游ゴシック"/>
        <family val="3"/>
        <charset val="128"/>
        <scheme val="minor"/>
      </rPr>
      <t>(連敗による自動停止設定)</t>
    </r>
    <rPh sb="0" eb="1">
      <t>タイ</t>
    </rPh>
    <rPh sb="1" eb="3">
      <t>レンパイ</t>
    </rPh>
    <rPh sb="3" eb="4">
      <t>スウ</t>
    </rPh>
    <rPh sb="5" eb="7">
      <t>レンパイ</t>
    </rPh>
    <rPh sb="10" eb="12">
      <t>ジドウ</t>
    </rPh>
    <rPh sb="12" eb="14">
      <t>テイシ</t>
    </rPh>
    <rPh sb="14" eb="16">
      <t>セッテイ</t>
    </rPh>
    <phoneticPr fontId="1"/>
  </si>
  <si>
    <t>期待月利(単利)</t>
    <rPh sb="0" eb="2">
      <t>キタイ</t>
    </rPh>
    <rPh sb="2" eb="4">
      <t>ゲツリ</t>
    </rPh>
    <rPh sb="5" eb="7">
      <t>タンリ</t>
    </rPh>
    <phoneticPr fontId="1"/>
  </si>
  <si>
    <t>適用運用法</t>
    <rPh sb="0" eb="2">
      <t>テキヨウ</t>
    </rPh>
    <rPh sb="2" eb="5">
      <t>ウンヨウホウ</t>
    </rPh>
    <phoneticPr fontId="1"/>
  </si>
  <si>
    <t>0.01ロット:105万円～</t>
    <rPh sb="11" eb="13">
      <t>マンエン</t>
    </rPh>
    <phoneticPr fontId="1"/>
  </si>
  <si>
    <t>分割してレベル5運用</t>
    <rPh sb="0" eb="2">
      <t>ブンカツ</t>
    </rPh>
    <rPh sb="8" eb="10">
      <t>ウンヨウ</t>
    </rPh>
    <phoneticPr fontId="1"/>
  </si>
  <si>
    <t>230万円スタートの場合、耐16連敗(期待月利18.36%)</t>
    <rPh sb="3" eb="5">
      <t>マンエン</t>
    </rPh>
    <rPh sb="10" eb="12">
      <t>バアイ</t>
    </rPh>
    <rPh sb="13" eb="14">
      <t>タイ</t>
    </rPh>
    <rPh sb="16" eb="18">
      <t>レンパイ</t>
    </rPh>
    <rPh sb="19" eb="21">
      <t>キタイ</t>
    </rPh>
    <rPh sb="21" eb="23">
      <t>ゲツリ</t>
    </rPh>
    <phoneticPr fontId="1"/>
  </si>
  <si>
    <t>※最大運用ロット　◆耐15連敗の場合　0.077ロットまで　◆耐17連敗の場合　0.03ロットまで</t>
    <rPh sb="1" eb="3">
      <t>サイダイ</t>
    </rPh>
    <rPh sb="3" eb="5">
      <t>ウンヨウ</t>
    </rPh>
    <rPh sb="10" eb="11">
      <t>タイ</t>
    </rPh>
    <rPh sb="13" eb="15">
      <t>レンパイ</t>
    </rPh>
    <rPh sb="16" eb="18">
      <t>バアイ</t>
    </rPh>
    <rPh sb="31" eb="32">
      <t>タイ</t>
    </rPh>
    <rPh sb="34" eb="36">
      <t>レンパイ</t>
    </rPh>
    <rPh sb="37" eb="39">
      <t>バアイ</t>
    </rPh>
    <phoneticPr fontId="1"/>
  </si>
  <si>
    <t>①9万円～18万円</t>
    <rPh sb="2" eb="4">
      <t>マンエン</t>
    </rPh>
    <rPh sb="7" eb="9">
      <t>マンエン</t>
    </rPh>
    <phoneticPr fontId="1"/>
  </si>
  <si>
    <t>※最大運用ロット　◆耐17連敗の場合　0.03ロットまで</t>
    <rPh sb="1" eb="3">
      <t>サイダイ</t>
    </rPh>
    <rPh sb="3" eb="5">
      <t>ウンヨウ</t>
    </rPh>
    <rPh sb="10" eb="11">
      <t>タイ</t>
    </rPh>
    <rPh sb="13" eb="15">
      <t>レンパイ</t>
    </rPh>
    <rPh sb="16" eb="18">
      <t>バアイ</t>
    </rPh>
    <phoneticPr fontId="1"/>
  </si>
  <si>
    <t>0.01ロット:9万円～18万円</t>
    <rPh sb="9" eb="10">
      <t>マン</t>
    </rPh>
    <rPh sb="10" eb="11">
      <t>エン</t>
    </rPh>
    <rPh sb="14" eb="16">
      <t>マンエン</t>
    </rPh>
    <phoneticPr fontId="1"/>
  </si>
  <si>
    <t>求めたいロット数を入力</t>
    <rPh sb="0" eb="1">
      <t>モト</t>
    </rPh>
    <rPh sb="7" eb="8">
      <t>スウ</t>
    </rPh>
    <rPh sb="9" eb="11">
      <t>ニュウリョク</t>
    </rPh>
    <phoneticPr fontId="1"/>
  </si>
  <si>
    <t>0.001ロット増の時の目標金額</t>
    <rPh sb="8" eb="9">
      <t>ゾウ</t>
    </rPh>
    <rPh sb="10" eb="11">
      <t>トキ</t>
    </rPh>
    <rPh sb="12" eb="14">
      <t>モクヒョウ</t>
    </rPh>
    <rPh sb="14" eb="16">
      <t>キンガク</t>
    </rPh>
    <phoneticPr fontId="1"/>
  </si>
  <si>
    <t>0.0001ロット増の時の目標金額</t>
    <rPh sb="9" eb="10">
      <t>ゾウ</t>
    </rPh>
    <rPh sb="11" eb="12">
      <t>トキ</t>
    </rPh>
    <rPh sb="13" eb="15">
      <t>モクヒョウ</t>
    </rPh>
    <rPh sb="15" eb="17">
      <t>キンガク</t>
    </rPh>
    <phoneticPr fontId="1"/>
  </si>
  <si>
    <t>入力ロット数の時の運用金額</t>
    <rPh sb="0" eb="2">
      <t>ニュウリョク</t>
    </rPh>
    <rPh sb="5" eb="6">
      <t>スウ</t>
    </rPh>
    <rPh sb="7" eb="8">
      <t>トキ</t>
    </rPh>
    <rPh sb="9" eb="11">
      <t>ウンヨウ</t>
    </rPh>
    <rPh sb="11" eb="13">
      <t>キンガク</t>
    </rPh>
    <phoneticPr fontId="1"/>
  </si>
  <si>
    <t>レベル1(耐15連敗)</t>
    <rPh sb="5" eb="6">
      <t>タイ</t>
    </rPh>
    <rPh sb="8" eb="10">
      <t>レンパイ</t>
    </rPh>
    <phoneticPr fontId="1"/>
  </si>
  <si>
    <t>レベル2(耐15連敗)</t>
    <rPh sb="5" eb="6">
      <t>タイ</t>
    </rPh>
    <rPh sb="8" eb="10">
      <t>レンパイ</t>
    </rPh>
    <phoneticPr fontId="1"/>
  </si>
  <si>
    <t>レベル3(耐15連敗)</t>
    <rPh sb="5" eb="6">
      <t>タイ</t>
    </rPh>
    <rPh sb="8" eb="10">
      <t>レンパイ</t>
    </rPh>
    <phoneticPr fontId="1"/>
  </si>
  <si>
    <t>レベル3L(耐17連敗)</t>
    <rPh sb="6" eb="7">
      <t>タイ</t>
    </rPh>
    <rPh sb="9" eb="11">
      <t>レンパイ</t>
    </rPh>
    <phoneticPr fontId="1"/>
  </si>
  <si>
    <t>レベル4(耐15連敗)</t>
    <rPh sb="5" eb="6">
      <t>タイ</t>
    </rPh>
    <rPh sb="8" eb="10">
      <t>レンパイ</t>
    </rPh>
    <phoneticPr fontId="1"/>
  </si>
  <si>
    <t>レベル4L(耐17連敗)</t>
    <rPh sb="6" eb="7">
      <t>タイ</t>
    </rPh>
    <rPh sb="9" eb="11">
      <t>レンパイ</t>
    </rPh>
    <phoneticPr fontId="1"/>
  </si>
  <si>
    <t>レベル5(耐15連敗)</t>
    <rPh sb="5" eb="6">
      <t>タイ</t>
    </rPh>
    <rPh sb="8" eb="10">
      <t>レンパイ</t>
    </rPh>
    <phoneticPr fontId="1"/>
  </si>
  <si>
    <t>レベル5L(耐17連敗)</t>
    <rPh sb="6" eb="7">
      <t>タイ</t>
    </rPh>
    <rPh sb="9" eb="11">
      <t>レンパイ</t>
    </rPh>
    <phoneticPr fontId="1"/>
  </si>
  <si>
    <t>※最大運用ロット　◆耐16連敗の場合　0.0123ロットまで</t>
    <rPh sb="1" eb="3">
      <t>サイダイ</t>
    </rPh>
    <rPh sb="3" eb="5">
      <t>ウンヨウ</t>
    </rPh>
    <rPh sb="10" eb="11">
      <t>タイ</t>
    </rPh>
    <rPh sb="13" eb="15">
      <t>レンパイ</t>
    </rPh>
    <rPh sb="16" eb="18">
      <t>バアイ</t>
    </rPh>
    <phoneticPr fontId="1"/>
  </si>
  <si>
    <t>レベル6(耐15連敗)</t>
    <rPh sb="5" eb="6">
      <t>タイ</t>
    </rPh>
    <rPh sb="8" eb="10">
      <t>レンパイ</t>
    </rPh>
    <phoneticPr fontId="1"/>
  </si>
  <si>
    <t>レベル6L(耐16連敗)</t>
    <rPh sb="6" eb="7">
      <t>タイ</t>
    </rPh>
    <rPh sb="9" eb="11">
      <t>レンパイ</t>
    </rPh>
    <phoneticPr fontId="1"/>
  </si>
  <si>
    <t>運用法(推奨設定)</t>
    <rPh sb="0" eb="3">
      <t>ウンヨウホウ</t>
    </rPh>
    <rPh sb="4" eb="6">
      <t>スイショウ</t>
    </rPh>
    <rPh sb="6" eb="8">
      <t>セッテイ</t>
    </rPh>
    <phoneticPr fontId="1"/>
  </si>
  <si>
    <t>運用基準額</t>
    <rPh sb="0" eb="2">
      <t>ウンヨウ</t>
    </rPh>
    <rPh sb="2" eb="4">
      <t>キジュン</t>
    </rPh>
    <rPh sb="4" eb="5">
      <t>ガク</t>
    </rPh>
    <phoneticPr fontId="1"/>
  </si>
  <si>
    <t>資金別運用法ロードマップ(耐15連敗中心)</t>
    <rPh sb="0" eb="2">
      <t>シキン</t>
    </rPh>
    <rPh sb="2" eb="3">
      <t>ベツ</t>
    </rPh>
    <rPh sb="3" eb="5">
      <t>ウンヨウ</t>
    </rPh>
    <rPh sb="5" eb="6">
      <t>ホウ</t>
    </rPh>
    <rPh sb="13" eb="14">
      <t>タイ</t>
    </rPh>
    <rPh sb="16" eb="18">
      <t>レンパイ</t>
    </rPh>
    <rPh sb="18" eb="20">
      <t>チュウシン</t>
    </rPh>
    <phoneticPr fontId="1"/>
  </si>
  <si>
    <t>180万円スタートの場合、耐20連敗(期待月利3.04%)</t>
    <rPh sb="19" eb="21">
      <t>キタイ</t>
    </rPh>
    <rPh sb="21" eb="23">
      <t>ゲツリ</t>
    </rPh>
    <phoneticPr fontId="1"/>
  </si>
  <si>
    <t>※最大運用ロット　◆耐15連敗の場合　0.077ロットまで</t>
    <rPh sb="1" eb="3">
      <t>サイダイ</t>
    </rPh>
    <rPh sb="3" eb="5">
      <t>ウンヨウ</t>
    </rPh>
    <rPh sb="10" eb="11">
      <t>タイ</t>
    </rPh>
    <rPh sb="13" eb="15">
      <t>レンパイ</t>
    </rPh>
    <rPh sb="16" eb="18">
      <t>バアイ</t>
    </rPh>
    <phoneticPr fontId="1"/>
  </si>
  <si>
    <t>※最大運用ロット　◆耐15連敗の場合　0.0218ロットまで</t>
    <rPh sb="1" eb="3">
      <t>サイダイ</t>
    </rPh>
    <rPh sb="3" eb="5">
      <t>ウンヨウ</t>
    </rPh>
    <rPh sb="10" eb="11">
      <t>タイ</t>
    </rPh>
    <rPh sb="13" eb="15">
      <t>レンパイ</t>
    </rPh>
    <rPh sb="16" eb="18">
      <t>バアイ</t>
    </rPh>
    <phoneticPr fontId="1"/>
  </si>
  <si>
    <t>※最大運用ロット　◆耐17連敗の場合　0.066ロットまで</t>
    <rPh sb="1" eb="3">
      <t>サイダイ</t>
    </rPh>
    <rPh sb="3" eb="5">
      <t>ウンヨウ</t>
    </rPh>
    <rPh sb="10" eb="11">
      <t>タイ</t>
    </rPh>
    <rPh sb="13" eb="15">
      <t>レンパイ</t>
    </rPh>
    <rPh sb="16" eb="18">
      <t>バアイ</t>
    </rPh>
    <phoneticPr fontId="1"/>
  </si>
  <si>
    <t>※最大運用ロット　◆耐20連敗の場合　0.0185ロットまで</t>
    <rPh sb="1" eb="3">
      <t>サイダイ</t>
    </rPh>
    <rPh sb="3" eb="5">
      <t>ウンヨウ</t>
    </rPh>
    <rPh sb="10" eb="11">
      <t>タイ</t>
    </rPh>
    <rPh sb="13" eb="15">
      <t>レンパイ</t>
    </rPh>
    <rPh sb="16" eb="18">
      <t>バアイ</t>
    </rPh>
    <phoneticPr fontId="1"/>
  </si>
  <si>
    <t>長期安全運用　レベル7-L　(耐20連敗)</t>
    <rPh sb="0" eb="2">
      <t>チョウキ</t>
    </rPh>
    <rPh sb="2" eb="4">
      <t>アンゼン</t>
    </rPh>
    <rPh sb="4" eb="6">
      <t>ウンヨウ</t>
    </rPh>
    <rPh sb="15" eb="16">
      <t>タイ</t>
    </rPh>
    <rPh sb="18" eb="20">
      <t>レンパイ</t>
    </rPh>
    <phoneticPr fontId="1"/>
  </si>
  <si>
    <t>長期安全運用　レベル7　(耐17連敗)</t>
    <rPh sb="0" eb="2">
      <t>チョウキ</t>
    </rPh>
    <rPh sb="2" eb="4">
      <t>アンゼン</t>
    </rPh>
    <rPh sb="4" eb="6">
      <t>ウンヨウ</t>
    </rPh>
    <rPh sb="13" eb="14">
      <t>タイ</t>
    </rPh>
    <rPh sb="16" eb="18">
      <t>レンパイ</t>
    </rPh>
    <phoneticPr fontId="1"/>
  </si>
  <si>
    <t>レベル7(耐17連敗)</t>
    <rPh sb="5" eb="6">
      <t>タイ</t>
    </rPh>
    <rPh sb="8" eb="10">
      <t>レンパイ</t>
    </rPh>
    <phoneticPr fontId="1"/>
  </si>
  <si>
    <t>レベル7L(耐20連敗)</t>
    <rPh sb="6" eb="7">
      <t>タイ</t>
    </rPh>
    <rPh sb="9" eb="11">
      <t>レンパイ</t>
    </rPh>
    <phoneticPr fontId="1"/>
  </si>
  <si>
    <t>(ドロップダウンリストから選択)</t>
    <rPh sb="13" eb="15">
      <t>センタク</t>
    </rPh>
    <phoneticPr fontId="1"/>
  </si>
  <si>
    <t>運用基準額　⇒</t>
    <rPh sb="0" eb="2">
      <t>ウンヨウ</t>
    </rPh>
    <rPh sb="2" eb="4">
      <t>キジュン</t>
    </rPh>
    <rPh sb="4" eb="5">
      <t>ガク</t>
    </rPh>
    <phoneticPr fontId="1"/>
  </si>
  <si>
    <t>運用基準額(自動入力)</t>
    <rPh sb="0" eb="2">
      <t>ウンヨウ</t>
    </rPh>
    <rPh sb="2" eb="4">
      <t>キジュン</t>
    </rPh>
    <rPh sb="4" eb="5">
      <t>ガク</t>
    </rPh>
    <rPh sb="6" eb="8">
      <t>ジドウ</t>
    </rPh>
    <rPh sb="8" eb="10">
      <t>ニュウリョク</t>
    </rPh>
    <phoneticPr fontId="1"/>
  </si>
  <si>
    <t>運用基準額(自動入力)　⇒</t>
    <rPh sb="0" eb="2">
      <t>ウンヨウ</t>
    </rPh>
    <rPh sb="2" eb="4">
      <t>キジュン</t>
    </rPh>
    <rPh sb="4" eb="5">
      <t>ガク</t>
    </rPh>
    <rPh sb="6" eb="8">
      <t>ジドウ</t>
    </rPh>
    <rPh sb="8" eb="10">
      <t>ニュウリョク</t>
    </rPh>
    <phoneticPr fontId="1"/>
  </si>
  <si>
    <t>(ドロップダウンで選択します)</t>
    <rPh sb="9" eb="11">
      <t>センタク</t>
    </rPh>
    <phoneticPr fontId="1"/>
  </si>
  <si>
    <t>以下が推奨設定となります</t>
    <rPh sb="0" eb="2">
      <t>イカ</t>
    </rPh>
    <rPh sb="3" eb="5">
      <t>スイショウ</t>
    </rPh>
    <rPh sb="5" eb="7">
      <t>セッテイ</t>
    </rPh>
    <phoneticPr fontId="1"/>
  </si>
  <si>
    <t>長期安全運用　レベル7</t>
    <rPh sb="0" eb="2">
      <t>チョウキ</t>
    </rPh>
    <rPh sb="10" eb="11">
      <t>ショウ</t>
    </rPh>
    <phoneticPr fontId="1"/>
  </si>
  <si>
    <r>
      <t>運用資金額</t>
    </r>
    <r>
      <rPr>
        <b/>
        <sz val="12"/>
        <color theme="1"/>
        <rFont val="游ゴシック"/>
        <family val="3"/>
        <charset val="128"/>
        <scheme val="minor"/>
      </rPr>
      <t>(耐15連敗)</t>
    </r>
    <rPh sb="0" eb="2">
      <t>ウンヨウ</t>
    </rPh>
    <rPh sb="2" eb="4">
      <t>シキン</t>
    </rPh>
    <rPh sb="4" eb="5">
      <t>ガク</t>
    </rPh>
    <rPh sb="5" eb="6">
      <t>キンガク</t>
    </rPh>
    <rPh sb="6" eb="7">
      <t>タイ</t>
    </rPh>
    <rPh sb="9" eb="11">
      <t>レンパイ</t>
    </rPh>
    <phoneticPr fontId="1"/>
  </si>
  <si>
    <t>※最大運用ロット　◆耐15連敗の場合　0.0218ロットまで　◆耐16連敗の場合　0.0123ロットまで</t>
    <rPh sb="1" eb="3">
      <t>サイダイ</t>
    </rPh>
    <rPh sb="3" eb="5">
      <t>ウンヨウ</t>
    </rPh>
    <rPh sb="10" eb="11">
      <t>タイ</t>
    </rPh>
    <rPh sb="13" eb="15">
      <t>レンパイ</t>
    </rPh>
    <rPh sb="16" eb="18">
      <t>バアイ</t>
    </rPh>
    <phoneticPr fontId="1"/>
  </si>
  <si>
    <t>※最大運用ロット　◆耐17連敗の場合　0.066ロットまで　◆耐20連敗の場合　0.0185ロットまで</t>
    <rPh sb="1" eb="3">
      <t>サイダイ</t>
    </rPh>
    <rPh sb="3" eb="5">
      <t>ウンヨウ</t>
    </rPh>
    <rPh sb="10" eb="11">
      <t>タイ</t>
    </rPh>
    <rPh sb="13" eb="15">
      <t>レンパイ</t>
    </rPh>
    <rPh sb="16" eb="18">
      <t>バアイ</t>
    </rPh>
    <phoneticPr fontId="1"/>
  </si>
  <si>
    <t>運用ロットに対応する運用額</t>
    <rPh sb="0" eb="2">
      <t>ウンヨウ</t>
    </rPh>
    <rPh sb="6" eb="8">
      <t>タイオウ</t>
    </rPh>
    <rPh sb="10" eb="12">
      <t>ウンヨウ</t>
    </rPh>
    <rPh sb="12" eb="13">
      <t>ガク</t>
    </rPh>
    <phoneticPr fontId="1"/>
  </si>
  <si>
    <t>Ⓑ運用法ごとの運用基準額から複利目標残高と運用ロットに対応する運用額を自動計算</t>
    <rPh sb="1" eb="4">
      <t>ウンヨウホウ</t>
    </rPh>
    <rPh sb="7" eb="9">
      <t>ウンヨウ</t>
    </rPh>
    <rPh sb="9" eb="11">
      <t>キジュン</t>
    </rPh>
    <rPh sb="11" eb="12">
      <t>ガク</t>
    </rPh>
    <rPh sb="14" eb="16">
      <t>フクリ</t>
    </rPh>
    <rPh sb="16" eb="18">
      <t>モクヒョウ</t>
    </rPh>
    <rPh sb="18" eb="20">
      <t>ザンダカ</t>
    </rPh>
    <rPh sb="21" eb="23">
      <t>ウンヨウ</t>
    </rPh>
    <rPh sb="27" eb="29">
      <t>タイオウ</t>
    </rPh>
    <rPh sb="31" eb="33">
      <t>ウンヨウ</t>
    </rPh>
    <rPh sb="33" eb="34">
      <t>ガク</t>
    </rPh>
    <rPh sb="35" eb="37">
      <t>ジドウ</t>
    </rPh>
    <rPh sb="37" eb="39">
      <t>ケイサン</t>
    </rPh>
    <phoneticPr fontId="1"/>
  </si>
  <si>
    <t>Ⓐ求めたい運用ロット数を入力して、入力したロット数に対応する運用金額と複利目標残高を自動計算</t>
    <rPh sb="1" eb="2">
      <t>モト</t>
    </rPh>
    <rPh sb="5" eb="7">
      <t>ウンヨウ</t>
    </rPh>
    <rPh sb="10" eb="11">
      <t>スウ</t>
    </rPh>
    <rPh sb="12" eb="14">
      <t>ニュウリョク</t>
    </rPh>
    <rPh sb="17" eb="19">
      <t>ニュウリョク</t>
    </rPh>
    <rPh sb="24" eb="25">
      <t>スウ</t>
    </rPh>
    <rPh sb="26" eb="28">
      <t>タイオウ</t>
    </rPh>
    <rPh sb="30" eb="32">
      <t>ウンヨウ</t>
    </rPh>
    <rPh sb="32" eb="34">
      <t>キンガク</t>
    </rPh>
    <rPh sb="35" eb="37">
      <t>フクリ</t>
    </rPh>
    <rPh sb="37" eb="39">
      <t>モクヒョウ</t>
    </rPh>
    <rPh sb="39" eb="41">
      <t>ザンダカ</t>
    </rPh>
    <rPh sb="42" eb="44">
      <t>ジドウ</t>
    </rPh>
    <rPh sb="44" eb="46">
      <t>ケイサン</t>
    </rPh>
    <phoneticPr fontId="1"/>
  </si>
  <si>
    <t>※リセット後や再起動の場合など連敗数を指定してスタートしたい場合のみONにします</t>
    <phoneticPr fontId="1"/>
  </si>
  <si>
    <t>※6)がOFFの時は設定の必要がありません</t>
    <phoneticPr fontId="1"/>
  </si>
  <si>
    <t>↓↓↓</t>
    <phoneticPr fontId="1"/>
  </si>
  <si>
    <t>※必ずONにしてください　※10)の項目で設定する連敗数になると取引を自動停止しLINE通知をします</t>
    <phoneticPr fontId="1"/>
  </si>
  <si>
    <t>特に変更の必要はありません</t>
    <rPh sb="0" eb="1">
      <t>トク</t>
    </rPh>
    <rPh sb="2" eb="4">
      <t>ヘンコウ</t>
    </rPh>
    <rPh sb="5" eb="7">
      <t>ヒツヨウ</t>
    </rPh>
    <phoneticPr fontId="1"/>
  </si>
  <si>
    <t>プレミアム口座の場合　1.81</t>
    <phoneticPr fontId="1"/>
  </si>
  <si>
    <t>ゼロ口座の場合　1.51</t>
    <rPh sb="2" eb="4">
      <t>コウザ</t>
    </rPh>
    <rPh sb="5" eb="7">
      <t>バアイ</t>
    </rPh>
    <phoneticPr fontId="1"/>
  </si>
  <si>
    <t>6　(サマータイム・3月の第二日曜から11月の第一日曜まで)・左記以外の期間は7</t>
    <rPh sb="11" eb="12">
      <t>ツキ</t>
    </rPh>
    <rPh sb="13" eb="14">
      <t>ダイ</t>
    </rPh>
    <rPh sb="14" eb="15">
      <t>ニ</t>
    </rPh>
    <rPh sb="15" eb="17">
      <t>ニチヨウ</t>
    </rPh>
    <rPh sb="21" eb="22">
      <t>ツキ</t>
    </rPh>
    <rPh sb="23" eb="25">
      <t>ダイイチ</t>
    </rPh>
    <rPh sb="25" eb="27">
      <t>ニチヨウ</t>
    </rPh>
    <rPh sb="31" eb="33">
      <t>サキ</t>
    </rPh>
    <rPh sb="33" eb="35">
      <t>イガイ</t>
    </rPh>
    <rPh sb="36" eb="38">
      <t>キカン</t>
    </rPh>
    <phoneticPr fontId="1"/>
  </si>
  <si>
    <t>&lt;連敗阻止モード&gt;　直前の決済結果が損失の場合は次のエントリーを逆方向にして利益決済しやすくするモードです</t>
    <rPh sb="1" eb="3">
      <t>レンパイ</t>
    </rPh>
    <rPh sb="3" eb="5">
      <t>ソシ</t>
    </rPh>
    <rPh sb="10" eb="12">
      <t>チョクゼン</t>
    </rPh>
    <rPh sb="13" eb="15">
      <t>ケッサイ</t>
    </rPh>
    <rPh sb="15" eb="17">
      <t>ケッカ</t>
    </rPh>
    <rPh sb="18" eb="20">
      <t>ソンシツ</t>
    </rPh>
    <rPh sb="21" eb="23">
      <t>バアイ</t>
    </rPh>
    <rPh sb="24" eb="25">
      <t>ツギ</t>
    </rPh>
    <rPh sb="32" eb="33">
      <t>ギャク</t>
    </rPh>
    <rPh sb="33" eb="35">
      <t>ホウコウ</t>
    </rPh>
    <rPh sb="38" eb="40">
      <t>リエキ</t>
    </rPh>
    <rPh sb="40" eb="42">
      <t>ケッサイ</t>
    </rPh>
    <phoneticPr fontId="1"/>
  </si>
  <si>
    <r>
      <rPr>
        <b/>
        <sz val="11"/>
        <color theme="1"/>
        <rFont val="Segoe UI Symbol"/>
        <family val="2"/>
      </rPr>
      <t>👆</t>
    </r>
    <r>
      <rPr>
        <b/>
        <sz val="11"/>
        <color theme="1"/>
        <rFont val="游ゴシック"/>
        <family val="2"/>
        <charset val="128"/>
        <scheme val="minor"/>
      </rPr>
      <t>最大運用ロットにご注意ください。</t>
    </r>
    <rPh sb="2" eb="4">
      <t>サイダイ</t>
    </rPh>
    <rPh sb="4" eb="6">
      <t>ウンヨウ</t>
    </rPh>
    <rPh sb="11" eb="13">
      <t>チュウイ</t>
    </rPh>
    <phoneticPr fontId="1"/>
  </si>
  <si>
    <t>運用法を選択　⇒</t>
  </si>
  <si>
    <t>最初に</t>
    <rPh sb="0" eb="2">
      <t>サイショ</t>
    </rPh>
    <phoneticPr fontId="1"/>
  </si>
  <si>
    <t>②運用残高</t>
    <rPh sb="1" eb="3">
      <t>ウンヨウ</t>
    </rPh>
    <rPh sb="3" eb="5">
      <t>ザンダカ</t>
    </rPh>
    <phoneticPr fontId="1"/>
  </si>
  <si>
    <t>参考)基準残高(0.01ロット)</t>
    <rPh sb="0" eb="2">
      <t>サンコウ</t>
    </rPh>
    <rPh sb="3" eb="7">
      <t>キジュンザンダカ</t>
    </rPh>
    <phoneticPr fontId="1"/>
  </si>
  <si>
    <t>パラメーター1)ロット</t>
    <phoneticPr fontId="1"/>
  </si>
  <si>
    <t>レベル2</t>
    <rPh sb="1" eb="4">
      <t>ウンヨウホウショウ</t>
    </rPh>
    <phoneticPr fontId="1"/>
  </si>
  <si>
    <t>レベル3</t>
    <rPh sb="1" eb="4">
      <t>ウンヨウホウショウ</t>
    </rPh>
    <phoneticPr fontId="1"/>
  </si>
  <si>
    <t>レベル4</t>
    <rPh sb="1" eb="4">
      <t>ウンヨウホウショウ</t>
    </rPh>
    <phoneticPr fontId="1"/>
  </si>
  <si>
    <t>①パラメーター1)ロット</t>
    <phoneticPr fontId="1"/>
  </si>
  <si>
    <t>超高利率　レベル6</t>
    <rPh sb="0" eb="1">
      <t>チョウ</t>
    </rPh>
    <rPh sb="1" eb="4">
      <t>コウリリツ</t>
    </rPh>
    <phoneticPr fontId="1"/>
  </si>
  <si>
    <t>超高利益　レベル6</t>
    <rPh sb="0" eb="1">
      <t>チョウ</t>
    </rPh>
    <rPh sb="1" eb="4">
      <t>コウリエキ</t>
    </rPh>
    <phoneticPr fontId="1"/>
  </si>
  <si>
    <t>レベル1-L</t>
    <phoneticPr fontId="1"/>
  </si>
  <si>
    <t>レベル3-L</t>
    <rPh sb="1" eb="4">
      <t>ウンヨウホウショウ</t>
    </rPh>
    <phoneticPr fontId="1"/>
  </si>
  <si>
    <t>レベル4-L</t>
    <rPh sb="1" eb="4">
      <t>ウンヨウホウショウ</t>
    </rPh>
    <phoneticPr fontId="1"/>
  </si>
  <si>
    <t>レベル5-L</t>
    <rPh sb="5" eb="6">
      <t>ショウ</t>
    </rPh>
    <phoneticPr fontId="1"/>
  </si>
  <si>
    <t>超高利益　レベル6-L</t>
    <rPh sb="0" eb="1">
      <t>チョウ</t>
    </rPh>
    <rPh sb="1" eb="4">
      <t>コウリエキ</t>
    </rPh>
    <phoneticPr fontId="1"/>
  </si>
  <si>
    <t>基本はこちらの0.0001ずつ増加表をご確認ください。</t>
    <rPh sb="0" eb="2">
      <t>キホン</t>
    </rPh>
    <rPh sb="15" eb="17">
      <t>ゾウカ</t>
    </rPh>
    <rPh sb="17" eb="18">
      <t>ヒョウ</t>
    </rPh>
    <rPh sb="20" eb="22">
      <t>カクニン</t>
    </rPh>
    <phoneticPr fontId="1"/>
  </si>
  <si>
    <t>12) 目標残高</t>
    <phoneticPr fontId="1"/>
  </si>
  <si>
    <t>11) 目標達成自動停止 ON・OFF</t>
    <rPh sb="4" eb="6">
      <t>モクヒョウ</t>
    </rPh>
    <rPh sb="6" eb="8">
      <t>タッセイ</t>
    </rPh>
    <rPh sb="8" eb="10">
      <t>ジドウ</t>
    </rPh>
    <rPh sb="10" eb="12">
      <t>テイシ</t>
    </rPh>
    <phoneticPr fontId="1"/>
  </si>
  <si>
    <t>レベルアップ目標額</t>
    <rPh sb="6" eb="8">
      <t>モクヒョウ</t>
    </rPh>
    <rPh sb="8" eb="9">
      <t>ガク</t>
    </rPh>
    <phoneticPr fontId="1"/>
  </si>
  <si>
    <t>16) LINE通知(目標達成) ON・OFF</t>
    <phoneticPr fontId="1"/>
  </si>
  <si>
    <t>参考(複利最大)2834000</t>
    <rPh sb="0" eb="2">
      <t>サンコウ</t>
    </rPh>
    <rPh sb="3" eb="5">
      <t>フクリ</t>
    </rPh>
    <rPh sb="5" eb="7">
      <t>サイダイ</t>
    </rPh>
    <phoneticPr fontId="1"/>
  </si>
  <si>
    <t>参考(複利最大)2829000</t>
    <rPh sb="0" eb="2">
      <t>サンコウ</t>
    </rPh>
    <rPh sb="3" eb="5">
      <t>フクリ</t>
    </rPh>
    <rPh sb="5" eb="7">
      <t>サイダイ</t>
    </rPh>
    <phoneticPr fontId="1"/>
  </si>
  <si>
    <t>参考(複利最大)3300000</t>
    <phoneticPr fontId="1"/>
  </si>
  <si>
    <t>参考(複利最大)3330000</t>
    <phoneticPr fontId="1"/>
  </si>
  <si>
    <t>ON　(使用しない場合はOFF)</t>
    <rPh sb="4" eb="6">
      <t>シヨウ</t>
    </rPh>
    <rPh sb="9" eb="11">
      <t>バアイ</t>
    </rPh>
    <phoneticPr fontId="1"/>
  </si>
  <si>
    <t>パラメーター1)ロット　⇒</t>
    <phoneticPr fontId="1"/>
  </si>
  <si>
    <t>パラメーター12)目標金額　⇒</t>
    <rPh sb="9" eb="11">
      <t>モクヒョウ</t>
    </rPh>
    <rPh sb="11" eb="13">
      <t>キンガク</t>
    </rPh>
    <phoneticPr fontId="1"/>
  </si>
  <si>
    <t>※一覧を確認するには運用金額・複利目標金額計算表を参照</t>
    <rPh sb="1" eb="3">
      <t>イチラン</t>
    </rPh>
    <rPh sb="4" eb="6">
      <t>カクニン</t>
    </rPh>
    <rPh sb="10" eb="12">
      <t>ウンヨウ</t>
    </rPh>
    <rPh sb="12" eb="14">
      <t>キンガク</t>
    </rPh>
    <rPh sb="15" eb="17">
      <t>フクリ</t>
    </rPh>
    <rPh sb="17" eb="19">
      <t>モクヒョウ</t>
    </rPh>
    <rPh sb="19" eb="21">
      <t>キンガク</t>
    </rPh>
    <rPh sb="21" eb="23">
      <t>ケイサン</t>
    </rPh>
    <rPh sb="23" eb="24">
      <t>ヒョウ</t>
    </rPh>
    <rPh sb="25" eb="27">
      <t>サンショウ</t>
    </rPh>
    <phoneticPr fontId="1"/>
  </si>
  <si>
    <t>すぐに達成するようなら　⇒</t>
    <rPh sb="3" eb="5">
      <t>タッセイ</t>
    </rPh>
    <phoneticPr fontId="1"/>
  </si>
  <si>
    <t>目標額上げ幅(0.0001ロット相当)</t>
    <rPh sb="0" eb="2">
      <t>モクヒョウ</t>
    </rPh>
    <rPh sb="2" eb="3">
      <t>ガク</t>
    </rPh>
    <rPh sb="3" eb="4">
      <t>ア</t>
    </rPh>
    <rPh sb="5" eb="6">
      <t>ハバ</t>
    </rPh>
    <rPh sb="16" eb="18">
      <t>ソウトウ</t>
    </rPh>
    <phoneticPr fontId="1"/>
  </si>
  <si>
    <t>※運用資金額とレベルアップ目標or複利対応最大金額にご注意ください</t>
    <rPh sb="1" eb="3">
      <t>ウンヨウ</t>
    </rPh>
    <rPh sb="3" eb="5">
      <t>シキン</t>
    </rPh>
    <rPh sb="5" eb="6">
      <t>ガク</t>
    </rPh>
    <rPh sb="13" eb="15">
      <t>モクヒョウ</t>
    </rPh>
    <rPh sb="17" eb="19">
      <t>フクリ</t>
    </rPh>
    <rPh sb="19" eb="21">
      <t>タイオウ</t>
    </rPh>
    <rPh sb="21" eb="23">
      <t>サイダイ</t>
    </rPh>
    <rPh sb="23" eb="25">
      <t>キンガク</t>
    </rPh>
    <rPh sb="27" eb="29">
      <t>チュウイ</t>
    </rPh>
    <phoneticPr fontId="1"/>
  </si>
  <si>
    <t>レベルアップ目標額　180000</t>
    <phoneticPr fontId="1"/>
  </si>
  <si>
    <t>レベルアップ目標額　260000</t>
    <phoneticPr fontId="1"/>
  </si>
  <si>
    <t>レベルアップ目標額　410000</t>
    <phoneticPr fontId="1"/>
  </si>
  <si>
    <t>参考(複利最大)3157000・(分割目標として)820000</t>
    <rPh sb="0" eb="2">
      <t>サンコウ</t>
    </rPh>
    <phoneticPr fontId="1"/>
  </si>
  <si>
    <r>
      <t>低リスクとの比較</t>
    </r>
    <r>
      <rPr>
        <sz val="9"/>
        <rFont val="游ゴシック"/>
        <family val="3"/>
        <charset val="128"/>
        <scheme val="minor"/>
      </rPr>
      <t>(低リスク設定詳細は下記)</t>
    </r>
    <rPh sb="0" eb="1">
      <t>テイ</t>
    </rPh>
    <rPh sb="6" eb="8">
      <t>ヒカク</t>
    </rPh>
    <rPh sb="9" eb="10">
      <t>テイ</t>
    </rPh>
    <rPh sb="13" eb="15">
      <t>セッテイ</t>
    </rPh>
    <rPh sb="15" eb="17">
      <t>ショウサイ</t>
    </rPh>
    <rPh sb="18" eb="20">
      <t>カキ</t>
    </rPh>
    <phoneticPr fontId="1"/>
  </si>
  <si>
    <t>ここに自身の運用残高を入力　⇒</t>
    <rPh sb="3" eb="5">
      <t>ジシン</t>
    </rPh>
    <rPh sb="6" eb="8">
      <t>ウンヨウ</t>
    </rPh>
    <rPh sb="8" eb="10">
      <t>ザンダカ</t>
    </rPh>
    <rPh sb="11" eb="13">
      <t>ニュウリョク</t>
    </rPh>
    <phoneticPr fontId="1"/>
  </si>
  <si>
    <t>危険判定(赤セルで停止)</t>
    <rPh sb="0" eb="2">
      <t>キケン</t>
    </rPh>
    <rPh sb="2" eb="4">
      <t>ハンテイ</t>
    </rPh>
    <rPh sb="5" eb="6">
      <t>アカ</t>
    </rPh>
    <rPh sb="9" eb="11">
      <t>テイシ</t>
    </rPh>
    <phoneticPr fontId="1"/>
  </si>
  <si>
    <t>ロット(60ロットまで対応)</t>
    <rPh sb="11" eb="13">
      <t>タイオウ</t>
    </rPh>
    <phoneticPr fontId="1"/>
  </si>
  <si>
    <t>※運用資金額と「レベルアップ目標or複利対応最大金額」に注意</t>
    <rPh sb="1" eb="3">
      <t>ウンヨウ</t>
    </rPh>
    <rPh sb="3" eb="5">
      <t>シキン</t>
    </rPh>
    <rPh sb="5" eb="6">
      <t>ガク</t>
    </rPh>
    <rPh sb="14" eb="16">
      <t>モクヒョウ</t>
    </rPh>
    <rPh sb="18" eb="20">
      <t>フクリ</t>
    </rPh>
    <rPh sb="20" eb="22">
      <t>タイオウ</t>
    </rPh>
    <rPh sb="22" eb="24">
      <t>サイダイ</t>
    </rPh>
    <rPh sb="24" eb="26">
      <t>キンガク</t>
    </rPh>
    <rPh sb="28" eb="30">
      <t>チュウイ</t>
    </rPh>
    <phoneticPr fontId="1"/>
  </si>
  <si>
    <t>※15連敗は18ヶ月1回程度の発生・17連敗は36ヶ月に1回程度の発生・20連敗は48ヶ月に1回程度の発生</t>
    <rPh sb="3" eb="5">
      <t>レンパイ</t>
    </rPh>
    <rPh sb="9" eb="10">
      <t>ゲツ</t>
    </rPh>
    <rPh sb="11" eb="12">
      <t>カイ</t>
    </rPh>
    <rPh sb="12" eb="14">
      <t>テイド</t>
    </rPh>
    <rPh sb="15" eb="17">
      <t>ハッセイ</t>
    </rPh>
    <rPh sb="20" eb="22">
      <t>レンパイ</t>
    </rPh>
    <rPh sb="26" eb="27">
      <t>ゲツ</t>
    </rPh>
    <rPh sb="29" eb="30">
      <t>カイ</t>
    </rPh>
    <rPh sb="30" eb="32">
      <t>テイド</t>
    </rPh>
    <rPh sb="33" eb="35">
      <t>ハッセイ</t>
    </rPh>
    <rPh sb="38" eb="40">
      <t>レンパイ</t>
    </rPh>
    <rPh sb="44" eb="45">
      <t>ゲツ</t>
    </rPh>
    <rPh sb="47" eb="48">
      <t>カイ</t>
    </rPh>
    <rPh sb="48" eb="50">
      <t>テイド</t>
    </rPh>
    <rPh sb="51" eb="53">
      <t>ハッセイ</t>
    </rPh>
    <phoneticPr fontId="1"/>
  </si>
  <si>
    <t>①5万円～9万円</t>
    <rPh sb="2" eb="4">
      <t>マンエン</t>
    </rPh>
    <rPh sb="6" eb="8">
      <t>マンエン</t>
    </rPh>
    <phoneticPr fontId="1"/>
  </si>
  <si>
    <t>③18万円～26万円</t>
    <rPh sb="3" eb="5">
      <t>マンエン</t>
    </rPh>
    <rPh sb="8" eb="10">
      <t>マンエン</t>
    </rPh>
    <phoneticPr fontId="1"/>
  </si>
  <si>
    <t>②9万円～18万円</t>
    <rPh sb="2" eb="4">
      <t>マンエン</t>
    </rPh>
    <rPh sb="7" eb="9">
      <t>マンエン</t>
    </rPh>
    <phoneticPr fontId="1"/>
  </si>
  <si>
    <t>②18万円～40万円</t>
    <rPh sb="3" eb="5">
      <t>マンエン</t>
    </rPh>
    <rPh sb="8" eb="10">
      <t>マンエン</t>
    </rPh>
    <phoneticPr fontId="1"/>
  </si>
  <si>
    <t>レベル2-L</t>
    <rPh sb="1" eb="4">
      <t>ウンヨウホウショウ</t>
    </rPh>
    <phoneticPr fontId="1"/>
  </si>
  <si>
    <t>レベル2L(耐17連敗)</t>
    <rPh sb="6" eb="7">
      <t>タイ</t>
    </rPh>
    <rPh sb="9" eb="11">
      <t>レンパイ</t>
    </rPh>
    <phoneticPr fontId="1"/>
  </si>
  <si>
    <t>レベル1L(耐17連敗)</t>
    <rPh sb="6" eb="7">
      <t>タイ</t>
    </rPh>
    <rPh sb="9" eb="11">
      <t>レンパイ</t>
    </rPh>
    <phoneticPr fontId="1"/>
  </si>
  <si>
    <t>レベルアップ目標額　90000</t>
    <rPh sb="6" eb="8">
      <t>モクヒョウ</t>
    </rPh>
    <rPh sb="8" eb="9">
      <t>ガク</t>
    </rPh>
    <phoneticPr fontId="1"/>
  </si>
  <si>
    <t>レベルアップ目標額　400000</t>
    <phoneticPr fontId="1"/>
  </si>
  <si>
    <t>0.01ロット:18万円～40万円</t>
    <rPh sb="10" eb="11">
      <t>マン</t>
    </rPh>
    <rPh sb="11" eb="12">
      <t>エン</t>
    </rPh>
    <rPh sb="15" eb="17">
      <t>マンエン</t>
    </rPh>
    <phoneticPr fontId="1"/>
  </si>
  <si>
    <t>1) ロット(最低ロット0.01)</t>
    <rPh sb="7" eb="9">
      <t>サイテイ</t>
    </rPh>
    <phoneticPr fontId="1"/>
  </si>
  <si>
    <t>③40万円～60万円</t>
    <rPh sb="3" eb="5">
      <t>マンエン</t>
    </rPh>
    <rPh sb="8" eb="10">
      <t>マンエン</t>
    </rPh>
    <phoneticPr fontId="1"/>
  </si>
  <si>
    <t>④60万円～100万円</t>
    <rPh sb="3" eb="5">
      <t>マンエン</t>
    </rPh>
    <rPh sb="9" eb="10">
      <t>マン</t>
    </rPh>
    <rPh sb="10" eb="11">
      <t>エン</t>
    </rPh>
    <phoneticPr fontId="1"/>
  </si>
  <si>
    <t>⑤100万円～325.5万円</t>
    <rPh sb="4" eb="6">
      <t>マンエン</t>
    </rPh>
    <rPh sb="12" eb="14">
      <t>マンエン</t>
    </rPh>
    <phoneticPr fontId="1"/>
  </si>
  <si>
    <r>
      <t xml:space="preserve"> </t>
    </r>
    <r>
      <rPr>
        <sz val="11"/>
        <color rgb="FFFF0000"/>
        <rFont val="游ゴシック"/>
        <family val="3"/>
        <charset val="128"/>
        <scheme val="minor"/>
      </rPr>
      <t>200万円を超えたら&lt;100万円～×2口座&gt;に分割して運用します</t>
    </r>
    <rPh sb="4" eb="6">
      <t>マンエン</t>
    </rPh>
    <rPh sb="7" eb="8">
      <t>コ</t>
    </rPh>
    <rPh sb="15" eb="17">
      <t>マンエン</t>
    </rPh>
    <rPh sb="20" eb="22">
      <t>コウザ</t>
    </rPh>
    <rPh sb="24" eb="26">
      <t>ブンカツ</t>
    </rPh>
    <rPh sb="28" eb="30">
      <t>ウンヨウ</t>
    </rPh>
    <phoneticPr fontId="1"/>
  </si>
  <si>
    <r>
      <t xml:space="preserve"> </t>
    </r>
    <r>
      <rPr>
        <sz val="11"/>
        <color rgb="FFFF0000"/>
        <rFont val="游ゴシック"/>
        <family val="3"/>
        <charset val="128"/>
        <scheme val="minor"/>
      </rPr>
      <t>82万円を超えたら&lt;41万円～×2口座&gt;に分割して運用します</t>
    </r>
    <rPh sb="3" eb="5">
      <t>マンエン</t>
    </rPh>
    <rPh sb="6" eb="7">
      <t>コ</t>
    </rPh>
    <rPh sb="13" eb="15">
      <t>マンエン</t>
    </rPh>
    <rPh sb="18" eb="20">
      <t>コウザ</t>
    </rPh>
    <rPh sb="22" eb="24">
      <t>ブンカツ</t>
    </rPh>
    <rPh sb="26" eb="28">
      <t>ウンヨウ</t>
    </rPh>
    <phoneticPr fontId="1"/>
  </si>
  <si>
    <t>0.01ロット:40万円～60万円</t>
    <rPh sb="10" eb="12">
      <t>マンエン</t>
    </rPh>
    <rPh sb="15" eb="17">
      <t>マンエン</t>
    </rPh>
    <phoneticPr fontId="1"/>
  </si>
  <si>
    <t>0.01ロット:60万円～100万円</t>
    <rPh sb="10" eb="12">
      <t>マンエン</t>
    </rPh>
    <rPh sb="16" eb="18">
      <t>マンエン</t>
    </rPh>
    <phoneticPr fontId="1"/>
  </si>
  <si>
    <t>レベルアップ目標額　1000000</t>
    <phoneticPr fontId="1"/>
  </si>
  <si>
    <t>レベルアップ目標額　600000</t>
    <phoneticPr fontId="1"/>
  </si>
  <si>
    <t>①9万円～18万円</t>
    <rPh sb="2" eb="3">
      <t>マン</t>
    </rPh>
    <rPh sb="3" eb="4">
      <t>エン</t>
    </rPh>
    <rPh sb="7" eb="9">
      <t>マンエン</t>
    </rPh>
    <phoneticPr fontId="1"/>
  </si>
  <si>
    <t>⑤41万円～315.7万円</t>
    <rPh sb="3" eb="5">
      <t>マンエン</t>
    </rPh>
    <rPh sb="11" eb="13">
      <t>マンエン</t>
    </rPh>
    <phoneticPr fontId="1"/>
  </si>
  <si>
    <t>④60万円～100万円</t>
    <rPh sb="3" eb="5">
      <t>マンエン</t>
    </rPh>
    <rPh sb="9" eb="11">
      <t>マンエン</t>
    </rPh>
    <phoneticPr fontId="1"/>
  </si>
  <si>
    <t>⑤100万円～300万円</t>
    <rPh sb="4" eb="6">
      <t>マンエン</t>
    </rPh>
    <rPh sb="10" eb="12">
      <t>マンエン</t>
    </rPh>
    <phoneticPr fontId="1"/>
  </si>
  <si>
    <t>130万円～283.4万円(耐15連敗)</t>
    <rPh sb="3" eb="5">
      <t>マンエン</t>
    </rPh>
    <rPh sb="11" eb="13">
      <t>マンエン</t>
    </rPh>
    <rPh sb="14" eb="15">
      <t>タイ</t>
    </rPh>
    <rPh sb="17" eb="19">
      <t>レンパイ</t>
    </rPh>
    <phoneticPr fontId="1"/>
  </si>
  <si>
    <t>230万円～282.9万円(耐16連敗)</t>
    <rPh sb="3" eb="5">
      <t>マンエン</t>
    </rPh>
    <rPh sb="11" eb="13">
      <t>マンエン</t>
    </rPh>
    <rPh sb="14" eb="15">
      <t>タイ</t>
    </rPh>
    <rPh sb="17" eb="19">
      <t>レンパイ</t>
    </rPh>
    <phoneticPr fontId="1"/>
  </si>
  <si>
    <t>50万円～330万円(耐17連敗)</t>
    <rPh sb="2" eb="4">
      <t>マンエン</t>
    </rPh>
    <rPh sb="8" eb="10">
      <t>マンエン</t>
    </rPh>
    <rPh sb="11" eb="12">
      <t>タイ</t>
    </rPh>
    <rPh sb="14" eb="16">
      <t>レンパイ</t>
    </rPh>
    <phoneticPr fontId="1"/>
  </si>
  <si>
    <t>参考(複利最大)3000000・(分割目標として)2000000</t>
    <rPh sb="0" eb="2">
      <t>サンコウ</t>
    </rPh>
    <phoneticPr fontId="1"/>
  </si>
  <si>
    <t>180万円～333万円(耐20連敗)</t>
    <rPh sb="3" eb="5">
      <t>マンエン</t>
    </rPh>
    <rPh sb="9" eb="11">
      <t>マンエン</t>
    </rPh>
    <rPh sb="12" eb="13">
      <t>タイ</t>
    </rPh>
    <rPh sb="15" eb="17">
      <t>レンパイ</t>
    </rPh>
    <phoneticPr fontId="1"/>
  </si>
  <si>
    <t>※82万円～(41万～×2口座)</t>
    <rPh sb="3" eb="4">
      <t>マン</t>
    </rPh>
    <rPh sb="4" eb="5">
      <t>エン</t>
    </rPh>
    <rPh sb="13" eb="15">
      <t>コウザ</t>
    </rPh>
    <phoneticPr fontId="1"/>
  </si>
  <si>
    <t>※200万円～(100万～×2口座)</t>
    <rPh sb="4" eb="5">
      <t>マン</t>
    </rPh>
    <rPh sb="5" eb="6">
      <t>エン</t>
    </rPh>
    <rPh sb="15" eb="17">
      <t>コウザ</t>
    </rPh>
    <phoneticPr fontId="1"/>
  </si>
  <si>
    <t>⑤41万円～82万円(315.7万円)</t>
    <rPh sb="3" eb="5">
      <t>マンエン</t>
    </rPh>
    <rPh sb="8" eb="10">
      <t>マンエン</t>
    </rPh>
    <rPh sb="16" eb="18">
      <t>マンエン</t>
    </rPh>
    <phoneticPr fontId="1"/>
  </si>
  <si>
    <t>高利益 ⑥130万円～283.4万円</t>
    <rPh sb="0" eb="3">
      <t>コウリエキ</t>
    </rPh>
    <rPh sb="8" eb="10">
      <t>マンエン</t>
    </rPh>
    <rPh sb="16" eb="18">
      <t>マンエン</t>
    </rPh>
    <phoneticPr fontId="1"/>
  </si>
  <si>
    <t>高利益 ⑥230万円～282.9万円</t>
    <rPh sb="0" eb="3">
      <t>コウリエキ</t>
    </rPh>
    <rPh sb="8" eb="10">
      <t>マンエン</t>
    </rPh>
    <rPh sb="16" eb="18">
      <t>マンエン</t>
    </rPh>
    <phoneticPr fontId="1"/>
  </si>
  <si>
    <t>長期安全 ⑦50万円～330万円(耐17連敗)</t>
    <rPh sb="0" eb="2">
      <t>チョウキ</t>
    </rPh>
    <rPh sb="2" eb="4">
      <t>アンゼン</t>
    </rPh>
    <rPh sb="8" eb="10">
      <t>マンエン</t>
    </rPh>
    <rPh sb="14" eb="16">
      <t>マンエン</t>
    </rPh>
    <rPh sb="17" eb="18">
      <t>タイ</t>
    </rPh>
    <rPh sb="20" eb="22">
      <t>レンパイ</t>
    </rPh>
    <phoneticPr fontId="1"/>
  </si>
  <si>
    <t>長期安全 ⑦180万円～333万円(耐20連敗)</t>
    <rPh sb="0" eb="2">
      <t>チョウキ</t>
    </rPh>
    <rPh sb="2" eb="4">
      <t>アンゼン</t>
    </rPh>
    <rPh sb="9" eb="11">
      <t>マンエン</t>
    </rPh>
    <rPh sb="15" eb="17">
      <t>マンエン</t>
    </rPh>
    <rPh sb="18" eb="19">
      <t>タイ</t>
    </rPh>
    <rPh sb="21" eb="23">
      <t>レンパイ</t>
    </rPh>
    <phoneticPr fontId="1"/>
  </si>
  <si>
    <t>ロット・利益金額が上昇しすぐに停止するようであれば12)の入力値を大きくして調整してください。</t>
    <rPh sb="4" eb="6">
      <t>リエキ</t>
    </rPh>
    <rPh sb="6" eb="8">
      <t>キンガク</t>
    </rPh>
    <rPh sb="9" eb="11">
      <t>ジョウショウ</t>
    </rPh>
    <rPh sb="15" eb="17">
      <t>テイシ</t>
    </rPh>
    <rPh sb="29" eb="32">
      <t>ニュウリョクチ</t>
    </rPh>
    <rPh sb="33" eb="34">
      <t>オオ</t>
    </rPh>
    <rPh sb="38" eb="40">
      <t>チョウセイ</t>
    </rPh>
    <phoneticPr fontId="1"/>
  </si>
  <si>
    <t>※口座残高が12)に入力した値に達すると自動停止します。レベル変更や複利運用のタイミング通知に役立つ機能です。</t>
    <rPh sb="1" eb="3">
      <t>コウザ</t>
    </rPh>
    <rPh sb="3" eb="5">
      <t>ザンダカ</t>
    </rPh>
    <rPh sb="10" eb="12">
      <t>ニュウリョク</t>
    </rPh>
    <rPh sb="14" eb="15">
      <t>アタイ</t>
    </rPh>
    <rPh sb="16" eb="17">
      <t>タッ</t>
    </rPh>
    <rPh sb="20" eb="22">
      <t>ジドウ</t>
    </rPh>
    <rPh sb="22" eb="24">
      <t>テイシ</t>
    </rPh>
    <rPh sb="31" eb="33">
      <t>ヘンコウ</t>
    </rPh>
    <rPh sb="34" eb="36">
      <t>フクリ</t>
    </rPh>
    <rPh sb="36" eb="38">
      <t>ウンヨウ</t>
    </rPh>
    <rPh sb="44" eb="46">
      <t>ツウチ</t>
    </rPh>
    <rPh sb="47" eb="49">
      <t>ヤクダ</t>
    </rPh>
    <rPh sb="50" eb="52">
      <t>キノウ</t>
    </rPh>
    <phoneticPr fontId="1"/>
  </si>
  <si>
    <t>ドロップダウンで運用法を選択し、運用残高を入力すると以下数値は自動入力されます。(運用残高は基準残高以上にしてください)</t>
    <rPh sb="8" eb="11">
      <t>ウンヨウホウ</t>
    </rPh>
    <rPh sb="12" eb="14">
      <t>センタク</t>
    </rPh>
    <rPh sb="16" eb="18">
      <t>ウンヨウ</t>
    </rPh>
    <rPh sb="18" eb="20">
      <t>ザンダカ</t>
    </rPh>
    <rPh sb="21" eb="23">
      <t>ニュウリョク</t>
    </rPh>
    <rPh sb="26" eb="28">
      <t>イカ</t>
    </rPh>
    <rPh sb="28" eb="30">
      <t>スウチ</t>
    </rPh>
    <rPh sb="31" eb="33">
      <t>ジドウ</t>
    </rPh>
    <rPh sb="33" eb="35">
      <t>ニュウリョク</t>
    </rPh>
    <rPh sb="41" eb="43">
      <t>ウンヨウ</t>
    </rPh>
    <rPh sb="43" eb="45">
      <t>ザンダカ</t>
    </rPh>
    <rPh sb="46" eb="48">
      <t>キジュン</t>
    </rPh>
    <rPh sb="48" eb="50">
      <t>ザンダカ</t>
    </rPh>
    <rPh sb="50" eb="52">
      <t>イジョウ</t>
    </rPh>
    <phoneticPr fontId="1"/>
  </si>
  <si>
    <t>損切時損失率</t>
    <rPh sb="0" eb="1">
      <t>ソン</t>
    </rPh>
    <rPh sb="1" eb="2">
      <t>キリ</t>
    </rPh>
    <rPh sb="2" eb="3">
      <t>ジ</t>
    </rPh>
    <rPh sb="3" eb="5">
      <t>ソンシツ</t>
    </rPh>
    <rPh sb="5" eb="6">
      <t>リツ</t>
    </rPh>
    <phoneticPr fontId="1"/>
  </si>
  <si>
    <t>右連敗時のロット</t>
    <rPh sb="0" eb="1">
      <t>ミギ</t>
    </rPh>
    <rPh sb="1" eb="3">
      <t>レンパイ</t>
    </rPh>
    <rPh sb="3" eb="4">
      <t>トキ</t>
    </rPh>
    <phoneticPr fontId="1"/>
  </si>
  <si>
    <t>運用法を選択　⇒</t>
    <rPh sb="0" eb="3">
      <t>ウンヨウホウ</t>
    </rPh>
    <rPh sb="4" eb="6">
      <t>センタク</t>
    </rPh>
    <phoneticPr fontId="1"/>
  </si>
  <si>
    <t>運用資金額を入力　⇒</t>
    <rPh sb="0" eb="2">
      <t>ウンヨウ</t>
    </rPh>
    <rPh sb="2" eb="4">
      <t>シキン</t>
    </rPh>
    <rPh sb="4" eb="5">
      <t>ガク</t>
    </rPh>
    <rPh sb="6" eb="8">
      <t>ニュウリョク</t>
    </rPh>
    <phoneticPr fontId="1"/>
  </si>
  <si>
    <t>基準残高(自動入力)⇒</t>
    <rPh sb="0" eb="2">
      <t>キジュン</t>
    </rPh>
    <rPh sb="2" eb="4">
      <t>ザンダカ</t>
    </rPh>
    <rPh sb="5" eb="7">
      <t>ジドウ</t>
    </rPh>
    <rPh sb="7" eb="9">
      <t>ニュウリョク</t>
    </rPh>
    <phoneticPr fontId="1"/>
  </si>
  <si>
    <t>次の取引に・次取引ロットとイーブンTPで設定し取引/決済すると"ほぼ"累積損失を取り返すことができます。</t>
    <rPh sb="0" eb="1">
      <t>ツギ</t>
    </rPh>
    <rPh sb="2" eb="4">
      <t>トリヒキ</t>
    </rPh>
    <rPh sb="6" eb="7">
      <t>ツギ</t>
    </rPh>
    <rPh sb="7" eb="9">
      <t>トリヒキ</t>
    </rPh>
    <rPh sb="20" eb="22">
      <t>セッテイ</t>
    </rPh>
    <rPh sb="23" eb="25">
      <t>トリヒキ</t>
    </rPh>
    <rPh sb="26" eb="28">
      <t>ケッサイ</t>
    </rPh>
    <rPh sb="35" eb="37">
      <t>ルイセキ</t>
    </rPh>
    <rPh sb="37" eb="39">
      <t>ソンシツ</t>
    </rPh>
    <rPh sb="40" eb="41">
      <t>ト</t>
    </rPh>
    <rPh sb="42" eb="43">
      <t>カエ</t>
    </rPh>
    <phoneticPr fontId="1"/>
  </si>
  <si>
    <t>1)運用法を選択し運用金額を入力すると、①と②にロットと倍率が自動入力されます。</t>
    <rPh sb="2" eb="5">
      <t>ウンヨウホウ</t>
    </rPh>
    <rPh sb="6" eb="8">
      <t>センタク</t>
    </rPh>
    <rPh sb="9" eb="11">
      <t>ウンヨウ</t>
    </rPh>
    <rPh sb="11" eb="13">
      <t>キンガク</t>
    </rPh>
    <rPh sb="14" eb="16">
      <t>ニュウリョク</t>
    </rPh>
    <rPh sb="28" eb="30">
      <t>バイリツ</t>
    </rPh>
    <rPh sb="31" eb="33">
      <t>ジドウ</t>
    </rPh>
    <rPh sb="33" eb="35">
      <t>ニュウリョク</t>
    </rPh>
    <phoneticPr fontId="1"/>
  </si>
  <si>
    <t>低リスクLシリーズ・資金別運用法ロードマップ(耐17連敗中心)</t>
    <rPh sb="0" eb="1">
      <t>テイ</t>
    </rPh>
    <rPh sb="10" eb="12">
      <t>シキン</t>
    </rPh>
    <rPh sb="12" eb="13">
      <t>ベツ</t>
    </rPh>
    <rPh sb="13" eb="15">
      <t>ウンヨウ</t>
    </rPh>
    <rPh sb="15" eb="16">
      <t>ホウ</t>
    </rPh>
    <rPh sb="23" eb="24">
      <t>タイ</t>
    </rPh>
    <rPh sb="26" eb="28">
      <t>レンパイ</t>
    </rPh>
    <rPh sb="28" eb="30">
      <t>チュウシン</t>
    </rPh>
    <phoneticPr fontId="1"/>
  </si>
  <si>
    <t>(耐17連敗の場合)Lシリーズ</t>
    <rPh sb="1" eb="2">
      <t>タイ</t>
    </rPh>
    <rPh sb="4" eb="6">
      <t>レンパイ</t>
    </rPh>
    <rPh sb="7" eb="9">
      <t>バアイ</t>
    </rPh>
    <phoneticPr fontId="1"/>
  </si>
  <si>
    <t>①ここで運用法を選択　⇒</t>
    <rPh sb="4" eb="7">
      <t>ウンヨウホウ</t>
    </rPh>
    <rPh sb="8" eb="10">
      <t>センタク</t>
    </rPh>
    <phoneticPr fontId="1"/>
  </si>
  <si>
    <t>②ここに運用資金額を入力　⇒</t>
    <rPh sb="4" eb="6">
      <t>ウンヨウ</t>
    </rPh>
    <rPh sb="6" eb="8">
      <t>シキン</t>
    </rPh>
    <rPh sb="8" eb="9">
      <t>ガク</t>
    </rPh>
    <rPh sb="10" eb="12">
      <t>ニュウリョク</t>
    </rPh>
    <phoneticPr fontId="1"/>
  </si>
  <si>
    <t>①ここで運用法を選択します　⇒</t>
    <rPh sb="4" eb="7">
      <t>ウンヨウホウ</t>
    </rPh>
    <rPh sb="8" eb="10">
      <t>センタク</t>
    </rPh>
    <phoneticPr fontId="1"/>
  </si>
  <si>
    <t>②自身の運用資金額を入力　⇒</t>
    <rPh sb="1" eb="3">
      <t>ジシン</t>
    </rPh>
    <rPh sb="4" eb="6">
      <t>ウンヨウ</t>
    </rPh>
    <rPh sb="6" eb="8">
      <t>シキン</t>
    </rPh>
    <rPh sb="8" eb="9">
      <t>ガク</t>
    </rPh>
    <rPh sb="10" eb="12">
      <t>ニュウリョク</t>
    </rPh>
    <phoneticPr fontId="1"/>
  </si>
  <si>
    <t>21(時)か22(時)</t>
    <rPh sb="3" eb="4">
      <t>ジ</t>
    </rPh>
    <rPh sb="9" eb="10">
      <t>ジ</t>
    </rPh>
    <phoneticPr fontId="1"/>
  </si>
  <si>
    <t>9(時)</t>
    <rPh sb="2" eb="3">
      <t>ジ</t>
    </rPh>
    <phoneticPr fontId="1"/>
  </si>
  <si>
    <r>
      <t>ロング　</t>
    </r>
    <r>
      <rPr>
        <b/>
        <sz val="8"/>
        <color theme="1"/>
        <rFont val="游ゴシック"/>
        <family val="3"/>
        <charset val="128"/>
        <scheme val="minor"/>
      </rPr>
      <t>もしくは</t>
    </r>
    <r>
      <rPr>
        <b/>
        <sz val="11"/>
        <color theme="1"/>
        <rFont val="游ゴシック"/>
        <family val="3"/>
        <charset val="128"/>
        <scheme val="minor"/>
      </rPr>
      <t>　ショート</t>
    </r>
    <phoneticPr fontId="1"/>
  </si>
  <si>
    <t>基本は　ロング　もしくは　ショート　の設定を推奨します。</t>
    <rPh sb="0" eb="2">
      <t>キホン</t>
    </rPh>
    <rPh sb="19" eb="21">
      <t>セッテイ</t>
    </rPh>
    <rPh sb="22" eb="24">
      <t>スイショウ</t>
    </rPh>
    <phoneticPr fontId="1"/>
  </si>
  <si>
    <t>※一般的に円高傾向の時はショート・円安傾向の時はロングにすると連敗数が減り利益を獲得しやすくなります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</si>
</sst>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0;&quot;▲ &quot;0"/>
    <numFmt numFmtId="179" formatCode="0_);[Red]\(0\)"/>
    <numFmt numFmtId="180" formatCode="#,##0_ "/>
    <numFmt numFmtId="181" formatCode="0.00_);[Red]\(0.00\)"/>
    <numFmt numFmtId="182" formatCode="0.0_ "/>
    <numFmt numFmtId="183" formatCode="0.0_);[Red]\(0.0\)"/>
    <numFmt numFmtId="184" formatCode="#,##0;&quot;▲ &quot;#,##0"/>
    <numFmt numFmtId="185" formatCode="0.0000_ "/>
  </numFmts>
  <fonts count="34">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1"/>
      <color rgb="FFFF0000"/>
      <name val="游ゴシック"/>
      <family val="3"/>
      <charset val="128"/>
      <scheme val="minor"/>
    </font>
    <font>
      <sz val="11"/>
      <name val="游ゴシック"/>
      <family val="3"/>
      <charset val="128"/>
      <scheme val="minor"/>
    </font>
    <font>
      <sz val="10.5"/>
      <color rgb="FF000000"/>
      <name val="游明朝"/>
      <family val="1"/>
      <charset val="128"/>
    </font>
    <font>
      <sz val="11"/>
      <color rgb="FFFF0000"/>
      <name val="游ゴシック"/>
      <family val="2"/>
      <charset val="128"/>
      <scheme val="minor"/>
    </font>
    <font>
      <sz val="11"/>
      <name val="游ゴシック"/>
      <family val="2"/>
      <charset val="128"/>
      <scheme val="minor"/>
    </font>
    <font>
      <b/>
      <sz val="11"/>
      <color theme="1"/>
      <name val="游ゴシック"/>
      <family val="3"/>
      <charset val="128"/>
      <scheme val="minor"/>
    </font>
    <font>
      <b/>
      <sz val="11"/>
      <color theme="1"/>
      <name val="游ゴシック"/>
      <family val="3"/>
      <charset val="128"/>
    </font>
    <font>
      <u/>
      <sz val="11"/>
      <color theme="1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name val="游ゴシック"/>
      <family val="3"/>
      <charset val="128"/>
      <scheme val="minor"/>
    </font>
    <font>
      <sz val="11"/>
      <color theme="10"/>
      <name val="游ゴシック"/>
      <family val="2"/>
      <charset val="128"/>
      <scheme val="minor"/>
    </font>
    <font>
      <sz val="11"/>
      <color theme="10"/>
      <name val="游ゴシック"/>
      <family val="3"/>
      <charset val="128"/>
      <scheme val="minor"/>
    </font>
    <font>
      <sz val="11"/>
      <color theme="1"/>
      <name val="游ゴシック"/>
      <family val="2"/>
      <charset val="128"/>
    </font>
    <font>
      <b/>
      <sz val="14"/>
      <color theme="1"/>
      <name val="游ゴシック"/>
      <family val="3"/>
      <charset val="128"/>
      <scheme val="minor"/>
    </font>
    <font>
      <b/>
      <u/>
      <sz val="14"/>
      <color theme="10"/>
      <name val="游ゴシック"/>
      <family val="3"/>
      <charset val="128"/>
      <scheme val="minor"/>
    </font>
    <font>
      <b/>
      <u/>
      <sz val="12"/>
      <color theme="10"/>
      <name val="游ゴシック"/>
      <family val="3"/>
      <charset val="128"/>
      <scheme val="minor"/>
    </font>
    <font>
      <sz val="11"/>
      <color theme="1"/>
      <name val="Segoe UI Symbol"/>
      <family val="2"/>
    </font>
    <font>
      <sz val="11"/>
      <color theme="1"/>
      <name val="Calibri"/>
      <family val="2"/>
    </font>
    <font>
      <b/>
      <u/>
      <sz val="11"/>
      <color theme="10"/>
      <name val="游ゴシック"/>
      <family val="3"/>
      <charset val="128"/>
      <scheme val="minor"/>
    </font>
    <font>
      <b/>
      <sz val="11"/>
      <color theme="1"/>
      <name val="游ゴシック"/>
      <family val="2"/>
      <charset val="128"/>
      <scheme val="minor"/>
    </font>
    <font>
      <sz val="9"/>
      <color theme="1"/>
      <name val="游ゴシック"/>
      <family val="3"/>
      <charset val="128"/>
      <scheme val="minor"/>
    </font>
    <font>
      <sz val="14"/>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u/>
      <sz val="11"/>
      <color theme="1"/>
      <name val="游ゴシック"/>
      <family val="2"/>
      <charset val="128"/>
      <scheme val="minor"/>
    </font>
    <font>
      <b/>
      <sz val="14"/>
      <name val="游ゴシック"/>
      <family val="3"/>
      <charset val="128"/>
      <scheme val="minor"/>
    </font>
    <font>
      <b/>
      <sz val="8"/>
      <color theme="1"/>
      <name val="游ゴシック"/>
      <family val="3"/>
      <charset val="128"/>
      <scheme val="minor"/>
    </font>
    <font>
      <b/>
      <sz val="11"/>
      <color theme="1"/>
      <name val="Segoe UI Symbol"/>
      <family val="2"/>
    </font>
    <font>
      <sz val="9"/>
      <name val="游ゴシック"/>
      <family val="3"/>
      <charset val="128"/>
      <scheme val="minor"/>
    </font>
    <font>
      <b/>
      <u/>
      <sz val="11"/>
      <name val="游ゴシック"/>
      <family val="3"/>
      <charset val="128"/>
      <scheme val="minor"/>
    </font>
  </fonts>
  <fills count="2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59999389629810485"/>
        <bgColor indexed="64"/>
      </patternFill>
    </fill>
    <fill>
      <patternFill patternType="solid">
        <fgColor theme="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thin">
        <color auto="1"/>
      </top>
      <bottom style="thick">
        <color rgb="FFFF0000"/>
      </bottom>
      <diagonal/>
    </border>
    <border diagonalUp="1">
      <left style="thin">
        <color auto="1"/>
      </left>
      <right style="dashed">
        <color auto="1"/>
      </right>
      <top style="dashed">
        <color auto="1"/>
      </top>
      <bottom style="dashed">
        <color auto="1"/>
      </bottom>
      <diagonal style="thin">
        <color rgb="FFFF0000"/>
      </diagonal>
    </border>
    <border diagonalUp="1">
      <left/>
      <right/>
      <top/>
      <bottom/>
      <diagonal style="thin">
        <color rgb="FFFF0000"/>
      </diagonal>
    </border>
    <border diagonalUp="1">
      <left style="dashed">
        <color auto="1"/>
      </left>
      <right style="dashed">
        <color auto="1"/>
      </right>
      <top style="dashed">
        <color auto="1"/>
      </top>
      <bottom style="dashed">
        <color auto="1"/>
      </bottom>
      <diagonal style="thin">
        <color rgb="FFFF0000"/>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diagonal/>
    </border>
    <border>
      <left style="thin">
        <color auto="1"/>
      </left>
      <right style="thin">
        <color auto="1"/>
      </right>
      <top style="thick">
        <color rgb="FFFF0000"/>
      </top>
      <bottom style="thick">
        <color rgb="FFFF0000"/>
      </bottom>
      <diagonal/>
    </border>
    <border>
      <left style="thin">
        <color auto="1"/>
      </left>
      <right/>
      <top style="thick">
        <color rgb="FFFF0000"/>
      </top>
      <bottom style="thick">
        <color rgb="FFFF0000"/>
      </bottom>
      <diagonal/>
    </border>
    <border>
      <left/>
      <right/>
      <top style="thick">
        <color rgb="FFFF0000"/>
      </top>
      <bottom style="thick">
        <color rgb="FFFF0000"/>
      </bottom>
      <diagonal/>
    </border>
    <border>
      <left style="thin">
        <color auto="1"/>
      </left>
      <right/>
      <top/>
      <bottom style="thick">
        <color rgb="FFFF0000"/>
      </bottom>
      <diagonal/>
    </border>
    <border>
      <left/>
      <right/>
      <top/>
      <bottom style="thick">
        <color rgb="FFFF0000"/>
      </bottom>
      <diagonal/>
    </border>
    <border>
      <left/>
      <right/>
      <top style="thick">
        <color rgb="FFFF0000"/>
      </top>
      <bottom/>
      <diagonal/>
    </border>
    <border>
      <left style="thin">
        <color auto="1"/>
      </left>
      <right style="thin">
        <color auto="1"/>
      </right>
      <top/>
      <bottom/>
      <diagonal/>
    </border>
    <border>
      <left/>
      <right/>
      <top style="thin">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dotted">
        <color indexed="64"/>
      </right>
      <top/>
      <bottom style="thin">
        <color auto="1"/>
      </bottom>
      <diagonal/>
    </border>
    <border>
      <left/>
      <right style="dotted">
        <color indexed="64"/>
      </right>
      <top style="thin">
        <color auto="1"/>
      </top>
      <bottom style="thin">
        <color auto="1"/>
      </bottom>
      <diagonal/>
    </border>
    <border>
      <left style="thin">
        <color auto="1"/>
      </left>
      <right style="dotted">
        <color indexed="64"/>
      </right>
      <top style="thin">
        <color auto="1"/>
      </top>
      <bottom/>
      <diagonal/>
    </border>
    <border>
      <left style="thin">
        <color auto="1"/>
      </left>
      <right style="dotted">
        <color indexed="64"/>
      </right>
      <top/>
      <bottom/>
      <diagonal/>
    </border>
    <border>
      <left style="dotted">
        <color indexed="64"/>
      </left>
      <right style="dotted">
        <color indexed="64"/>
      </right>
      <top style="thin">
        <color auto="1"/>
      </top>
      <bottom style="thin">
        <color auto="1"/>
      </bottom>
      <diagonal/>
    </border>
    <border>
      <left style="dotted">
        <color indexed="64"/>
      </left>
      <right style="dotted">
        <color indexed="64"/>
      </right>
      <top style="thin">
        <color auto="1"/>
      </top>
      <bottom/>
      <diagonal/>
    </border>
    <border>
      <left style="dotted">
        <color indexed="64"/>
      </left>
      <right style="dotted">
        <color indexed="64"/>
      </right>
      <top/>
      <bottom/>
      <diagonal/>
    </border>
    <border>
      <left style="dotted">
        <color indexed="64"/>
      </left>
      <right style="dotted">
        <color indexed="64"/>
      </right>
      <top/>
      <bottom style="thin">
        <color auto="1"/>
      </bottom>
      <diagonal/>
    </border>
    <border>
      <left style="dotted">
        <color indexed="64"/>
      </left>
      <right/>
      <top/>
      <bottom/>
      <diagonal/>
    </border>
    <border>
      <left/>
      <right/>
      <top style="double">
        <color auto="1"/>
      </top>
      <bottom/>
      <diagonal/>
    </border>
    <border>
      <left/>
      <right/>
      <top style="double">
        <color auto="1"/>
      </top>
      <bottom style="thin">
        <color auto="1"/>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style="thin">
        <color auto="1"/>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ck">
        <color indexed="64"/>
      </right>
      <top style="thin">
        <color auto="1"/>
      </top>
      <bottom style="thin">
        <color indexed="64"/>
      </bottom>
      <diagonal/>
    </border>
    <border>
      <left style="thick">
        <color indexed="64"/>
      </left>
      <right style="dotted">
        <color indexed="64"/>
      </right>
      <top style="thin">
        <color auto="1"/>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style="thick">
        <color rgb="FF0070C0"/>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auto="1"/>
      </left>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98">
    <xf numFmtId="0" fontId="0" fillId="0" borderId="0" xfId="0">
      <alignment vertical="center"/>
    </xf>
    <xf numFmtId="0" fontId="0" fillId="6" borderId="2" xfId="0" applyFill="1" applyBorder="1">
      <alignment vertical="center"/>
    </xf>
    <xf numFmtId="0" fontId="0" fillId="0" borderId="3" xfId="0" applyBorder="1">
      <alignment vertical="center"/>
    </xf>
    <xf numFmtId="0" fontId="0" fillId="0" borderId="4" xfId="0" applyBorder="1">
      <alignment vertical="center"/>
    </xf>
    <xf numFmtId="176" fontId="0" fillId="6" borderId="5" xfId="0" applyNumberFormat="1" applyFill="1" applyBorder="1">
      <alignment vertical="center"/>
    </xf>
    <xf numFmtId="178" fontId="0" fillId="0" borderId="6" xfId="0" applyNumberFormat="1" applyBorder="1">
      <alignment vertical="center"/>
    </xf>
    <xf numFmtId="0" fontId="0" fillId="0" borderId="6" xfId="0" applyBorder="1">
      <alignment vertical="center"/>
    </xf>
    <xf numFmtId="176" fontId="0" fillId="6" borderId="8" xfId="0" applyNumberFormat="1" applyFill="1" applyBorder="1">
      <alignment vertical="center"/>
    </xf>
    <xf numFmtId="178" fontId="0" fillId="0" borderId="9" xfId="0" applyNumberFormat="1" applyBorder="1">
      <alignment vertical="center"/>
    </xf>
    <xf numFmtId="0" fontId="0" fillId="0" borderId="9" xfId="0" applyBorder="1">
      <alignment vertical="center"/>
    </xf>
    <xf numFmtId="177" fontId="0" fillId="0" borderId="9" xfId="0" applyNumberFormat="1" applyBorder="1">
      <alignment vertical="center"/>
    </xf>
    <xf numFmtId="178" fontId="0" fillId="0" borderId="10" xfId="0" applyNumberFormat="1" applyBorder="1">
      <alignment vertical="center"/>
    </xf>
    <xf numFmtId="0" fontId="2" fillId="0" borderId="0" xfId="0" applyFont="1">
      <alignment vertical="center"/>
    </xf>
    <xf numFmtId="0" fontId="0" fillId="0" borderId="1" xfId="0" applyBorder="1">
      <alignment vertical="center"/>
    </xf>
    <xf numFmtId="0" fontId="4" fillId="0" borderId="0" xfId="0" applyFont="1">
      <alignment vertical="center"/>
    </xf>
    <xf numFmtId="0" fontId="5" fillId="0" borderId="0" xfId="0" applyFont="1">
      <alignment vertical="center"/>
    </xf>
    <xf numFmtId="0" fontId="0" fillId="8" borderId="0" xfId="0" applyFill="1">
      <alignment vertical="center"/>
    </xf>
    <xf numFmtId="10" fontId="0" fillId="0" borderId="0" xfId="0" applyNumberFormat="1">
      <alignment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31" xfId="0" applyBorder="1">
      <alignment vertical="center"/>
    </xf>
    <xf numFmtId="179" fontId="0" fillId="0" borderId="0" xfId="0" applyNumberFormat="1">
      <alignment vertical="center"/>
    </xf>
    <xf numFmtId="180" fontId="0" fillId="0" borderId="0" xfId="0" applyNumberFormat="1">
      <alignment vertical="center"/>
    </xf>
    <xf numFmtId="180" fontId="0" fillId="0" borderId="1" xfId="0" applyNumberFormat="1"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180" fontId="0" fillId="0" borderId="39" xfId="0" applyNumberFormat="1" applyBorder="1">
      <alignment vertical="center"/>
    </xf>
    <xf numFmtId="180" fontId="0" fillId="0" borderId="40" xfId="0" applyNumberFormat="1" applyBorder="1">
      <alignment vertical="center"/>
    </xf>
    <xf numFmtId="180" fontId="0" fillId="0" borderId="41" xfId="0" applyNumberFormat="1" applyBorder="1">
      <alignment vertical="center"/>
    </xf>
    <xf numFmtId="0" fontId="0" fillId="0" borderId="38" xfId="0" applyBorder="1">
      <alignment vertical="center"/>
    </xf>
    <xf numFmtId="0" fontId="0" fillId="0" borderId="42" xfId="0" applyBorder="1">
      <alignment vertical="center"/>
    </xf>
    <xf numFmtId="180" fontId="0" fillId="0" borderId="38" xfId="0" applyNumberFormat="1"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5" borderId="0" xfId="0" applyFill="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5" borderId="2" xfId="0" applyFill="1" applyBorder="1" applyAlignment="1">
      <alignment horizontal="center" vertical="center"/>
    </xf>
    <xf numFmtId="0" fontId="0" fillId="3" borderId="3"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2" borderId="6" xfId="0" applyFill="1"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center" vertical="center"/>
    </xf>
    <xf numFmtId="0" fontId="0" fillId="4" borderId="6"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7" borderId="5" xfId="0" applyFill="1" applyBorder="1" applyAlignment="1">
      <alignment horizontal="center" vertical="center"/>
    </xf>
    <xf numFmtId="0" fontId="0" fillId="4" borderId="3" xfId="0" applyFill="1" applyBorder="1" applyAlignment="1">
      <alignment horizontal="center" vertical="center"/>
    </xf>
    <xf numFmtId="0" fontId="0" fillId="0" borderId="21" xfId="0" applyBorder="1" applyAlignment="1">
      <alignment horizontal="center" vertical="center"/>
    </xf>
    <xf numFmtId="0" fontId="0" fillId="7" borderId="6" xfId="0" applyFill="1" applyBorder="1" applyAlignment="1">
      <alignment horizontal="center" vertical="center"/>
    </xf>
    <xf numFmtId="0" fontId="0" fillId="0" borderId="19" xfId="0" applyBorder="1" applyAlignment="1">
      <alignment horizontal="center" vertical="center"/>
    </xf>
    <xf numFmtId="0" fontId="0" fillId="2" borderId="22" xfId="0" applyFill="1" applyBorder="1" applyAlignment="1">
      <alignment horizontal="center" vertical="center"/>
    </xf>
    <xf numFmtId="0" fontId="0" fillId="8" borderId="24" xfId="0" applyFill="1" applyBorder="1" applyAlignment="1">
      <alignment horizontal="center" vertical="center"/>
    </xf>
    <xf numFmtId="0" fontId="0" fillId="0" borderId="0" xfId="0" applyAlignment="1">
      <alignment horizontal="left" vertical="center"/>
    </xf>
    <xf numFmtId="181" fontId="0" fillId="0" borderId="0" xfId="0" applyNumberFormat="1">
      <alignment vertical="center"/>
    </xf>
    <xf numFmtId="178" fontId="0" fillId="0" borderId="0" xfId="0" applyNumberFormat="1">
      <alignment vertical="center"/>
    </xf>
    <xf numFmtId="176" fontId="0" fillId="0" borderId="0" xfId="0" applyNumberFormat="1">
      <alignment vertical="center"/>
    </xf>
    <xf numFmtId="178" fontId="7" fillId="9" borderId="0" xfId="0" applyNumberFormat="1" applyFont="1" applyFill="1">
      <alignment vertical="center"/>
    </xf>
    <xf numFmtId="178" fontId="0" fillId="0" borderId="31" xfId="0" applyNumberFormat="1" applyBorder="1">
      <alignment vertical="center"/>
    </xf>
    <xf numFmtId="178" fontId="0" fillId="0" borderId="11" xfId="0" applyNumberFormat="1" applyBorder="1">
      <alignment vertical="center"/>
    </xf>
    <xf numFmtId="177" fontId="8" fillId="0" borderId="43" xfId="0" applyNumberFormat="1" applyFont="1" applyBorder="1" applyAlignment="1">
      <alignment horizontal="center" vertical="center"/>
    </xf>
    <xf numFmtId="178" fontId="8" fillId="0" borderId="44" xfId="0" applyNumberFormat="1" applyFont="1" applyBorder="1" applyAlignment="1">
      <alignment horizontal="center" vertical="center"/>
    </xf>
    <xf numFmtId="181" fontId="8" fillId="0" borderId="44" xfId="0" applyNumberFormat="1" applyFont="1" applyBorder="1" applyAlignment="1">
      <alignment horizontal="center" vertical="center"/>
    </xf>
    <xf numFmtId="179" fontId="8" fillId="0" borderId="44" xfId="0" applyNumberFormat="1" applyFont="1" applyBorder="1" applyAlignment="1">
      <alignment horizontal="center" vertical="center"/>
    </xf>
    <xf numFmtId="0" fontId="0" fillId="0" borderId="44" xfId="0" applyBorder="1">
      <alignment vertical="center"/>
    </xf>
    <xf numFmtId="0" fontId="8" fillId="0" borderId="0" xfId="0" applyFont="1">
      <alignment vertical="center"/>
    </xf>
    <xf numFmtId="178" fontId="8" fillId="0" borderId="0" xfId="0" applyNumberFormat="1" applyFont="1">
      <alignment vertical="center"/>
    </xf>
    <xf numFmtId="179" fontId="8" fillId="0" borderId="0" xfId="0" applyNumberFormat="1" applyFont="1">
      <alignment vertical="center"/>
    </xf>
    <xf numFmtId="178" fontId="8" fillId="3" borderId="0" xfId="0" applyNumberFormat="1" applyFont="1" applyFill="1" applyAlignment="1">
      <alignment horizontal="right" vertical="center"/>
    </xf>
    <xf numFmtId="178" fontId="8" fillId="3" borderId="44" xfId="0" applyNumberFormat="1" applyFont="1" applyFill="1" applyBorder="1" applyAlignment="1">
      <alignment horizontal="right" vertical="center"/>
    </xf>
    <xf numFmtId="178" fontId="8" fillId="3" borderId="0" xfId="0" applyNumberFormat="1" applyFont="1" applyFill="1">
      <alignment vertical="center"/>
    </xf>
    <xf numFmtId="0" fontId="8" fillId="10" borderId="0" xfId="0" applyFont="1" applyFill="1" applyProtection="1">
      <alignment vertical="center"/>
      <protection locked="0"/>
    </xf>
    <xf numFmtId="181" fontId="8" fillId="10" borderId="0" xfId="0" applyNumberFormat="1" applyFont="1" applyFill="1" applyProtection="1">
      <alignment vertical="center"/>
      <protection locked="0"/>
    </xf>
    <xf numFmtId="0" fontId="8" fillId="2" borderId="0" xfId="0" applyFont="1" applyFill="1" applyProtection="1">
      <alignment vertical="center"/>
      <protection locked="0"/>
    </xf>
    <xf numFmtId="179" fontId="8" fillId="2" borderId="0" xfId="0" applyNumberFormat="1" applyFont="1" applyFill="1" applyProtection="1">
      <alignment vertical="center"/>
      <protection locked="0"/>
    </xf>
    <xf numFmtId="0" fontId="10" fillId="0" borderId="0" xfId="1">
      <alignment vertical="center"/>
    </xf>
    <xf numFmtId="0" fontId="0" fillId="0" borderId="29"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8" borderId="25" xfId="0" applyFill="1" applyBorder="1" applyAlignment="1">
      <alignment horizontal="left" vertical="center"/>
    </xf>
    <xf numFmtId="0" fontId="0" fillId="8" borderId="26" xfId="0" applyFill="1" applyBorder="1" applyAlignment="1">
      <alignment horizontal="left" vertical="center"/>
    </xf>
    <xf numFmtId="182" fontId="0" fillId="0" borderId="0" xfId="0" applyNumberFormat="1">
      <alignment vertical="center"/>
    </xf>
    <xf numFmtId="0" fontId="0" fillId="3" borderId="1" xfId="0" applyFill="1" applyBorder="1">
      <alignment vertical="center"/>
    </xf>
    <xf numFmtId="177" fontId="0" fillId="0" borderId="6" xfId="0" applyNumberFormat="1" applyBorder="1">
      <alignment vertical="center"/>
    </xf>
    <xf numFmtId="178" fontId="0" fillId="0" borderId="7" xfId="0" applyNumberFormat="1" applyBorder="1">
      <alignment vertical="center"/>
    </xf>
    <xf numFmtId="0" fontId="10" fillId="0" borderId="0" xfId="1" applyBorder="1">
      <alignment vertical="center"/>
    </xf>
    <xf numFmtId="0" fontId="0" fillId="0" borderId="32" xfId="0" applyBorder="1" applyAlignment="1">
      <alignment horizontal="center" vertical="center"/>
    </xf>
    <xf numFmtId="176" fontId="0" fillId="0" borderId="0" xfId="0" applyNumberFormat="1" applyAlignment="1">
      <alignment horizontal="center" vertical="center"/>
    </xf>
    <xf numFmtId="178" fontId="0" fillId="0" borderId="0" xfId="0" applyNumberFormat="1" applyAlignment="1">
      <alignment horizontal="center" vertical="center"/>
    </xf>
    <xf numFmtId="182" fontId="0" fillId="0" borderId="0" xfId="0" applyNumberFormat="1" applyAlignment="1">
      <alignment horizontal="center" vertical="center"/>
    </xf>
    <xf numFmtId="181" fontId="0" fillId="0" borderId="0" xfId="0" applyNumberFormat="1" applyAlignment="1">
      <alignment horizontal="center" vertical="center"/>
    </xf>
    <xf numFmtId="183" fontId="0" fillId="0" borderId="0" xfId="0" applyNumberFormat="1">
      <alignment vertical="center"/>
    </xf>
    <xf numFmtId="183" fontId="0" fillId="0" borderId="0" xfId="0" applyNumberFormat="1" applyAlignment="1">
      <alignment horizontal="center" vertical="center"/>
    </xf>
    <xf numFmtId="176" fontId="0" fillId="0" borderId="1" xfId="0" applyNumberFormat="1" applyBorder="1" applyAlignment="1">
      <alignment horizontal="center" vertical="center"/>
    </xf>
    <xf numFmtId="181" fontId="0" fillId="0" borderId="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2" xfId="0" applyNumberFormat="1" applyBorder="1" applyAlignment="1">
      <alignment horizontal="right" vertical="center"/>
    </xf>
    <xf numFmtId="176" fontId="0" fillId="6" borderId="49" xfId="0" applyNumberFormat="1" applyFill="1" applyBorder="1" applyAlignment="1">
      <alignment horizontal="center" vertical="center"/>
    </xf>
    <xf numFmtId="182" fontId="0" fillId="6" borderId="50" xfId="0" applyNumberFormat="1" applyFill="1" applyBorder="1" applyAlignment="1">
      <alignment horizontal="center" vertical="center"/>
    </xf>
    <xf numFmtId="176" fontId="0" fillId="5" borderId="49" xfId="0" applyNumberFormat="1" applyFill="1" applyBorder="1" applyAlignment="1">
      <alignment horizontal="center" vertical="center"/>
    </xf>
    <xf numFmtId="182" fontId="0" fillId="5" borderId="51" xfId="0" applyNumberFormat="1" applyFill="1" applyBorder="1" applyAlignment="1">
      <alignment horizontal="center" vertical="center"/>
    </xf>
    <xf numFmtId="181" fontId="0" fillId="12" borderId="52" xfId="0" applyNumberFormat="1" applyFill="1" applyBorder="1" applyAlignment="1">
      <alignment horizontal="center" vertical="center"/>
    </xf>
    <xf numFmtId="183" fontId="0" fillId="12" borderId="51" xfId="0" applyNumberFormat="1" applyFill="1" applyBorder="1" applyAlignment="1">
      <alignment horizontal="center" vertical="center"/>
    </xf>
    <xf numFmtId="181" fontId="0" fillId="13" borderId="52" xfId="0" applyNumberFormat="1" applyFill="1" applyBorder="1" applyAlignment="1">
      <alignment horizontal="center" vertical="center"/>
    </xf>
    <xf numFmtId="181" fontId="0" fillId="13" borderId="51" xfId="0" applyNumberFormat="1" applyFill="1" applyBorder="1" applyAlignment="1">
      <alignment horizontal="center" vertical="center"/>
    </xf>
    <xf numFmtId="0" fontId="8" fillId="0" borderId="0" xfId="0" applyFont="1" applyAlignment="1">
      <alignment horizontal="center" vertical="center" shrinkToFit="1"/>
    </xf>
    <xf numFmtId="176" fontId="8" fillId="0" borderId="55" xfId="0" applyNumberFormat="1" applyFont="1" applyBorder="1" applyAlignment="1">
      <alignment horizontal="center" vertical="center" shrinkToFit="1"/>
    </xf>
    <xf numFmtId="0" fontId="0" fillId="0" borderId="48" xfId="0" applyBorder="1" applyAlignment="1">
      <alignment horizontal="center" vertical="center"/>
    </xf>
    <xf numFmtId="0" fontId="4" fillId="0" borderId="0" xfId="1" applyFont="1">
      <alignment vertical="center"/>
    </xf>
    <xf numFmtId="0" fontId="14" fillId="0" borderId="0" xfId="1" applyFont="1">
      <alignment vertical="center"/>
    </xf>
    <xf numFmtId="0" fontId="10" fillId="6" borderId="0" xfId="1" applyFill="1">
      <alignment vertical="center"/>
    </xf>
    <xf numFmtId="180" fontId="0" fillId="15" borderId="0" xfId="0" applyNumberFormat="1" applyFill="1">
      <alignment vertical="center"/>
    </xf>
    <xf numFmtId="0" fontId="0" fillId="14" borderId="0" xfId="0" applyFill="1">
      <alignment vertical="center"/>
    </xf>
    <xf numFmtId="177" fontId="0" fillId="0" borderId="0" xfId="0" applyNumberFormat="1">
      <alignment vertical="center"/>
    </xf>
    <xf numFmtId="0" fontId="10" fillId="0" borderId="0" xfId="1" applyAlignment="1">
      <alignment horizontal="center" vertical="center"/>
    </xf>
    <xf numFmtId="0" fontId="16" fillId="0" borderId="1" xfId="0" applyFont="1" applyBorder="1" applyAlignment="1">
      <alignment horizontal="center" vertical="center"/>
    </xf>
    <xf numFmtId="0" fontId="10" fillId="0" borderId="1" xfId="1" applyBorder="1">
      <alignment vertical="center"/>
    </xf>
    <xf numFmtId="0" fontId="22" fillId="0" borderId="0" xfId="1" applyFont="1" applyAlignment="1">
      <alignment horizontal="center" vertical="center"/>
    </xf>
    <xf numFmtId="0" fontId="10" fillId="0" borderId="11" xfId="1" applyBorder="1" applyAlignment="1">
      <alignment horizontal="center" vertical="center"/>
    </xf>
    <xf numFmtId="0" fontId="8" fillId="6" borderId="1" xfId="0" applyFont="1" applyFill="1" applyBorder="1" applyAlignment="1">
      <alignment horizontal="center" vertical="center"/>
    </xf>
    <xf numFmtId="0" fontId="0" fillId="11" borderId="1" xfId="0" applyFill="1" applyBorder="1">
      <alignment vertical="center"/>
    </xf>
    <xf numFmtId="0" fontId="0" fillId="8" borderId="1" xfId="0" applyFill="1" applyBorder="1">
      <alignment vertical="center"/>
    </xf>
    <xf numFmtId="0" fontId="8" fillId="0" borderId="0" xfId="0" applyFont="1" applyAlignment="1">
      <alignment horizontal="center" vertical="center"/>
    </xf>
    <xf numFmtId="0" fontId="4" fillId="0" borderId="1" xfId="1" applyFont="1" applyBorder="1" applyAlignment="1">
      <alignment horizontal="center" vertical="center"/>
    </xf>
    <xf numFmtId="0" fontId="4" fillId="0" borderId="33" xfId="1" applyFont="1" applyBorder="1" applyAlignment="1">
      <alignment horizontal="center" vertical="center"/>
    </xf>
    <xf numFmtId="0" fontId="10" fillId="0" borderId="0" xfId="1" applyFill="1" applyBorder="1">
      <alignment vertical="center"/>
    </xf>
    <xf numFmtId="0" fontId="7" fillId="0" borderId="1" xfId="1" applyFont="1" applyFill="1" applyBorder="1" applyAlignment="1">
      <alignment horizontal="center" vertical="center"/>
    </xf>
    <xf numFmtId="0" fontId="17" fillId="0" borderId="0" xfId="0" applyFont="1">
      <alignment vertical="center"/>
    </xf>
    <xf numFmtId="0" fontId="7" fillId="0" borderId="23" xfId="1" applyFont="1" applyFill="1" applyBorder="1" applyAlignment="1">
      <alignment horizontal="center" vertical="center"/>
    </xf>
    <xf numFmtId="0" fontId="10" fillId="0" borderId="0" xfId="1" applyBorder="1" applyAlignment="1">
      <alignment horizontal="center" vertical="center"/>
    </xf>
    <xf numFmtId="0" fontId="7" fillId="0" borderId="0" xfId="1" applyFont="1" applyFill="1" applyBorder="1" applyAlignment="1">
      <alignment horizontal="center"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xf>
    <xf numFmtId="0" fontId="6" fillId="0" borderId="1" xfId="0" applyFont="1" applyBorder="1">
      <alignment vertical="center"/>
    </xf>
    <xf numFmtId="182" fontId="0" fillId="0" borderId="1" xfId="0" applyNumberFormat="1" applyBorder="1" applyAlignment="1">
      <alignment horizontal="left" vertical="center"/>
    </xf>
    <xf numFmtId="10" fontId="4" fillId="0" borderId="33" xfId="1" applyNumberFormat="1" applyFont="1" applyBorder="1" applyAlignment="1">
      <alignment horizontal="center" vertical="center"/>
    </xf>
    <xf numFmtId="0" fontId="7" fillId="0" borderId="1" xfId="1" applyFont="1" applyBorder="1" applyAlignment="1">
      <alignment horizontal="center" vertical="center"/>
    </xf>
    <xf numFmtId="0" fontId="7" fillId="0" borderId="1" xfId="0" applyFont="1" applyBorder="1" applyAlignment="1">
      <alignment horizontal="center" vertical="center"/>
    </xf>
    <xf numFmtId="10" fontId="0" fillId="0" borderId="1" xfId="0" applyNumberFormat="1" applyBorder="1" applyAlignment="1">
      <alignment horizontal="center" vertical="center"/>
    </xf>
    <xf numFmtId="0" fontId="25" fillId="0" borderId="0" xfId="0" applyFont="1" applyAlignment="1">
      <alignment horizontal="center" vertical="center"/>
    </xf>
    <xf numFmtId="0" fontId="4" fillId="0" borderId="0" xfId="1" applyFont="1" applyFill="1" applyBorder="1" applyAlignment="1">
      <alignment horizontal="center" vertical="center"/>
    </xf>
    <xf numFmtId="0" fontId="25" fillId="0" borderId="1" xfId="0" applyFont="1" applyBorder="1" applyAlignment="1">
      <alignment horizontal="center" vertical="center"/>
    </xf>
    <xf numFmtId="0" fontId="4" fillId="0" borderId="1" xfId="1" applyFont="1" applyFill="1" applyBorder="1" applyAlignment="1">
      <alignment horizontal="center" vertical="center"/>
    </xf>
    <xf numFmtId="0" fontId="4" fillId="0" borderId="1" xfId="1" applyFont="1" applyBorder="1" applyAlignment="1">
      <alignment horizontal="center" vertical="center" shrinkToFit="1"/>
    </xf>
    <xf numFmtId="0" fontId="0" fillId="0" borderId="0" xfId="0" applyAlignment="1">
      <alignment horizontal="center" vertical="center" wrapText="1"/>
    </xf>
    <xf numFmtId="0" fontId="10" fillId="5" borderId="0" xfId="1" applyFill="1">
      <alignment vertical="center"/>
    </xf>
    <xf numFmtId="0" fontId="19" fillId="0" borderId="0" xfId="1" applyFont="1" applyBorder="1">
      <alignment vertical="center"/>
    </xf>
    <xf numFmtId="0" fontId="7" fillId="0" borderId="0" xfId="1" applyFont="1" applyFill="1" applyBorder="1">
      <alignment vertical="center"/>
    </xf>
    <xf numFmtId="177" fontId="0" fillId="0" borderId="0" xfId="0" applyNumberFormat="1" applyAlignment="1">
      <alignment horizontal="center" vertical="center"/>
    </xf>
    <xf numFmtId="0" fontId="0" fillId="0" borderId="1" xfId="0" applyBorder="1" applyAlignment="1">
      <alignment horizontal="center" vertical="center" shrinkToFit="1"/>
    </xf>
    <xf numFmtId="0" fontId="8" fillId="0" borderId="1" xfId="0" applyFont="1" applyBorder="1" applyAlignment="1">
      <alignment horizontal="center" vertical="center"/>
    </xf>
    <xf numFmtId="0" fontId="8" fillId="0" borderId="0" xfId="0" applyFont="1" applyAlignment="1">
      <alignment horizontal="left" vertical="center"/>
    </xf>
    <xf numFmtId="0" fontId="4" fillId="0" borderId="0" xfId="1" applyFont="1" applyBorder="1" applyAlignment="1">
      <alignment horizontal="center" vertical="center" shrinkToFit="1"/>
    </xf>
    <xf numFmtId="0" fontId="4" fillId="0" borderId="0" xfId="0" applyFont="1" applyAlignment="1">
      <alignment horizontal="center" vertical="center"/>
    </xf>
    <xf numFmtId="0" fontId="13" fillId="0" borderId="0" xfId="1" applyFont="1" applyFill="1" applyBorder="1" applyAlignment="1">
      <alignment horizontal="center" vertical="center"/>
    </xf>
    <xf numFmtId="0" fontId="17" fillId="2" borderId="0" xfId="0" applyFont="1" applyFill="1">
      <alignment vertical="center"/>
    </xf>
    <xf numFmtId="0" fontId="17" fillId="2" borderId="1" xfId="0" applyFont="1" applyFill="1" applyBorder="1" applyAlignment="1">
      <alignment horizontal="center" vertical="center"/>
    </xf>
    <xf numFmtId="0" fontId="8" fillId="3" borderId="1" xfId="0" applyFont="1" applyFill="1" applyBorder="1">
      <alignment vertical="center"/>
    </xf>
    <xf numFmtId="0" fontId="26" fillId="0" borderId="0" xfId="1" applyFont="1" applyAlignment="1">
      <alignment horizontal="center" vertical="center"/>
    </xf>
    <xf numFmtId="0" fontId="13" fillId="0" borderId="1" xfId="1" applyFont="1" applyBorder="1" applyAlignment="1">
      <alignment horizontal="center" vertical="center"/>
    </xf>
    <xf numFmtId="0" fontId="0" fillId="15" borderId="0" xfId="0" applyFill="1" applyAlignment="1">
      <alignment horizontal="center" vertical="center"/>
    </xf>
    <xf numFmtId="0" fontId="28" fillId="0" borderId="0" xfId="0" applyFont="1">
      <alignment vertical="center"/>
    </xf>
    <xf numFmtId="0" fontId="29" fillId="3" borderId="1" xfId="1" applyFont="1" applyFill="1" applyBorder="1" applyAlignment="1">
      <alignment horizontal="center" vertical="center"/>
    </xf>
    <xf numFmtId="0" fontId="27" fillId="0" borderId="1" xfId="0" applyFont="1" applyBorder="1" applyAlignment="1">
      <alignment horizontal="center" vertical="center"/>
    </xf>
    <xf numFmtId="0" fontId="3" fillId="0" borderId="1" xfId="0" applyFont="1" applyBorder="1" applyAlignment="1">
      <alignment horizontal="center" vertical="center"/>
    </xf>
    <xf numFmtId="182" fontId="8" fillId="0" borderId="1" xfId="0" applyNumberFormat="1" applyFont="1" applyBorder="1" applyAlignment="1">
      <alignment horizontal="center" vertical="center"/>
    </xf>
    <xf numFmtId="0" fontId="8" fillId="0" borderId="1" xfId="0" applyFont="1" applyBorder="1" applyAlignment="1">
      <alignment horizontal="center" vertical="center" shrinkToFit="1"/>
    </xf>
    <xf numFmtId="0" fontId="8" fillId="0" borderId="23" xfId="0" applyFont="1" applyBorder="1" applyAlignment="1">
      <alignment horizontal="center" vertical="center"/>
    </xf>
    <xf numFmtId="0" fontId="8" fillId="0" borderId="12" xfId="0" applyFont="1" applyBorder="1" applyAlignment="1">
      <alignment horizontal="center" vertical="center"/>
    </xf>
    <xf numFmtId="185" fontId="8" fillId="16" borderId="0" xfId="0" applyNumberFormat="1" applyFont="1" applyFill="1" applyProtection="1">
      <alignment vertical="center"/>
      <protection locked="0"/>
    </xf>
    <xf numFmtId="178" fontId="8" fillId="8" borderId="0" xfId="0" applyNumberFormat="1" applyFont="1" applyFill="1">
      <alignment vertical="center"/>
    </xf>
    <xf numFmtId="178" fontId="8" fillId="8" borderId="44" xfId="0" applyNumberFormat="1" applyFont="1" applyFill="1" applyBorder="1" applyAlignment="1">
      <alignment horizontal="right" vertical="center"/>
    </xf>
    <xf numFmtId="178" fontId="8" fillId="8" borderId="0" xfId="0" applyNumberFormat="1" applyFont="1" applyFill="1" applyAlignment="1">
      <alignment horizontal="right" vertical="center"/>
    </xf>
    <xf numFmtId="178" fontId="8" fillId="0" borderId="0" xfId="0" applyNumberFormat="1" applyFont="1" applyAlignment="1">
      <alignment vertical="center" shrinkToFit="1"/>
    </xf>
    <xf numFmtId="0" fontId="13" fillId="0" borderId="23" xfId="1" applyFont="1" applyFill="1" applyBorder="1" applyAlignment="1">
      <alignment horizontal="center" vertical="center"/>
    </xf>
    <xf numFmtId="0" fontId="13" fillId="0" borderId="1" xfId="1" applyFont="1" applyFill="1" applyBorder="1" applyAlignment="1">
      <alignment horizontal="center" vertical="center"/>
    </xf>
    <xf numFmtId="10" fontId="4" fillId="0" borderId="1" xfId="1" applyNumberFormat="1" applyFont="1" applyBorder="1" applyAlignment="1">
      <alignment horizontal="center" vertical="center"/>
    </xf>
    <xf numFmtId="178" fontId="8" fillId="0" borderId="1" xfId="0" applyNumberFormat="1" applyFont="1" applyBorder="1">
      <alignment vertical="center"/>
    </xf>
    <xf numFmtId="0" fontId="17" fillId="3" borderId="0" xfId="0" applyFont="1" applyFill="1" applyAlignment="1">
      <alignment horizontal="center" vertical="center"/>
    </xf>
    <xf numFmtId="0" fontId="7" fillId="0" borderId="12" xfId="1" applyFont="1" applyFill="1" applyBorder="1" applyAlignment="1">
      <alignment horizontal="center" vertical="center"/>
    </xf>
    <xf numFmtId="0" fontId="0" fillId="2" borderId="0" xfId="0" applyFill="1">
      <alignment vertical="center"/>
    </xf>
    <xf numFmtId="0" fontId="11" fillId="0" borderId="33" xfId="0" applyFont="1" applyBorder="1" applyAlignment="1">
      <alignment horizontal="center" vertical="center"/>
    </xf>
    <xf numFmtId="0" fontId="29" fillId="18" borderId="1" xfId="1" applyFont="1" applyFill="1" applyBorder="1" applyAlignment="1">
      <alignment horizontal="center" vertical="center"/>
    </xf>
    <xf numFmtId="0" fontId="17" fillId="18" borderId="0" xfId="0" applyFont="1" applyFill="1">
      <alignment vertical="center"/>
    </xf>
    <xf numFmtId="0" fontId="4" fillId="0" borderId="1" xfId="0" applyFont="1" applyBorder="1" applyAlignment="1">
      <alignment horizontal="center" vertical="center" shrinkToFit="1"/>
    </xf>
    <xf numFmtId="0" fontId="29" fillId="19" borderId="0" xfId="1" applyFont="1" applyFill="1" applyBorder="1" applyAlignment="1">
      <alignment horizontal="center" vertical="center"/>
    </xf>
    <xf numFmtId="0" fontId="0" fillId="19" borderId="0" xfId="0" applyFill="1" applyAlignment="1">
      <alignment vertical="center" shrinkToFit="1"/>
    </xf>
    <xf numFmtId="0" fontId="0" fillId="19" borderId="0" xfId="0" applyFill="1" applyAlignment="1">
      <alignment horizontal="center" vertical="center"/>
    </xf>
    <xf numFmtId="0" fontId="13" fillId="19" borderId="0" xfId="1" applyFont="1" applyFill="1" applyBorder="1" applyAlignment="1">
      <alignment horizontal="center" vertical="center"/>
    </xf>
    <xf numFmtId="178" fontId="8" fillId="0" borderId="44" xfId="0" applyNumberFormat="1" applyFont="1" applyBorder="1" applyAlignment="1">
      <alignment horizontal="center" vertical="center" shrinkToFit="1"/>
    </xf>
    <xf numFmtId="178" fontId="8" fillId="4" borderId="44" xfId="0" applyNumberFormat="1" applyFont="1" applyFill="1" applyBorder="1" applyAlignment="1">
      <alignment horizontal="center" vertical="center" shrinkToFit="1"/>
    </xf>
    <xf numFmtId="178" fontId="17" fillId="3" borderId="1" xfId="0" applyNumberFormat="1" applyFont="1" applyFill="1" applyBorder="1">
      <alignment vertical="center"/>
    </xf>
    <xf numFmtId="0" fontId="17" fillId="20" borderId="1" xfId="0" applyFont="1" applyFill="1" applyBorder="1">
      <alignment vertical="center"/>
    </xf>
    <xf numFmtId="179" fontId="8" fillId="3" borderId="0" xfId="0" applyNumberFormat="1" applyFont="1" applyFill="1">
      <alignment vertical="center"/>
    </xf>
    <xf numFmtId="185" fontId="8" fillId="16" borderId="1" xfId="0" applyNumberFormat="1" applyFont="1" applyFill="1" applyBorder="1">
      <alignment vertical="center"/>
    </xf>
    <xf numFmtId="9" fontId="0" fillId="0" borderId="0" xfId="0" applyNumberFormat="1">
      <alignment vertical="center"/>
    </xf>
    <xf numFmtId="0" fontId="8" fillId="3" borderId="0" xfId="0" applyFont="1" applyFill="1">
      <alignment vertical="center"/>
    </xf>
    <xf numFmtId="0" fontId="4" fillId="0" borderId="0" xfId="1" applyFont="1" applyFill="1" applyBorder="1">
      <alignment vertical="center"/>
    </xf>
    <xf numFmtId="0" fontId="0" fillId="0" borderId="1" xfId="0" applyBorder="1" applyAlignment="1">
      <alignment horizontal="center" vertical="center"/>
    </xf>
    <xf numFmtId="0" fontId="0" fillId="0" borderId="0" xfId="0">
      <alignment vertical="center"/>
    </xf>
    <xf numFmtId="0" fontId="0" fillId="0" borderId="32" xfId="0" applyBorder="1" applyAlignment="1">
      <alignment vertical="center" shrinkToFit="1"/>
    </xf>
    <xf numFmtId="0" fontId="0" fillId="0" borderId="33" xfId="0" applyBorder="1" applyAlignment="1">
      <alignment vertical="center" shrinkToFit="1"/>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 xfId="0" applyFont="1" applyBorder="1" applyAlignment="1">
      <alignment horizontal="center" vertical="center"/>
    </xf>
    <xf numFmtId="0" fontId="0" fillId="0" borderId="46" xfId="0" applyBorder="1" applyAlignment="1">
      <alignment vertical="center" shrinkToFit="1"/>
    </xf>
    <xf numFmtId="0" fontId="8" fillId="0" borderId="32" xfId="0" applyFont="1" applyBorder="1" applyAlignment="1">
      <alignment horizontal="center" vertical="center"/>
    </xf>
    <xf numFmtId="0" fontId="8" fillId="0" borderId="45" xfId="0" applyFont="1" applyBorder="1" applyAlignment="1">
      <alignment horizontal="center" vertical="center"/>
    </xf>
    <xf numFmtId="0" fontId="8" fillId="0" borderId="33" xfId="0" applyFont="1"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17" fillId="0" borderId="1" xfId="0" applyFont="1" applyBorder="1" applyAlignment="1">
      <alignment horizontal="center" vertical="center"/>
    </xf>
    <xf numFmtId="0" fontId="13" fillId="0" borderId="1" xfId="1" applyFont="1" applyBorder="1" applyAlignment="1">
      <alignment horizontal="center" vertical="center"/>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4" fillId="0" borderId="1" xfId="1" applyFont="1" applyBorder="1" applyAlignment="1">
      <alignment horizontal="center" vertical="center" shrinkToFit="1"/>
    </xf>
    <xf numFmtId="0" fontId="17" fillId="0" borderId="11" xfId="0" applyFont="1" applyBorder="1" applyAlignment="1">
      <alignment horizontal="center" vertical="center"/>
    </xf>
    <xf numFmtId="0" fontId="7" fillId="0" borderId="1" xfId="1" applyFont="1" applyFill="1" applyBorder="1">
      <alignment vertical="center"/>
    </xf>
    <xf numFmtId="0" fontId="0" fillId="0" borderId="0" xfId="0" applyAlignment="1">
      <alignment horizontal="center" vertical="center" shrinkToFit="1"/>
    </xf>
    <xf numFmtId="0" fontId="18" fillId="0" borderId="0" xfId="1" applyFont="1" applyAlignment="1">
      <alignment horizontal="center" vertical="center"/>
    </xf>
    <xf numFmtId="0" fontId="17" fillId="0" borderId="31" xfId="0" applyFont="1" applyBorder="1">
      <alignment vertical="center"/>
    </xf>
    <xf numFmtId="0" fontId="17" fillId="2" borderId="0" xfId="0" applyFont="1" applyFill="1" applyAlignment="1">
      <alignment horizontal="center" vertical="center" shrinkToFit="1"/>
    </xf>
    <xf numFmtId="0" fontId="17" fillId="3" borderId="0" xfId="0" applyFont="1" applyFill="1" applyAlignment="1">
      <alignment horizontal="center" vertical="center"/>
    </xf>
    <xf numFmtId="0" fontId="8" fillId="6" borderId="32" xfId="0" applyFont="1" applyFill="1" applyBorder="1" applyAlignment="1">
      <alignment horizontal="center" vertical="center"/>
    </xf>
    <xf numFmtId="0" fontId="8" fillId="6" borderId="45" xfId="0" applyFont="1" applyFill="1" applyBorder="1" applyAlignment="1">
      <alignment horizontal="center" vertical="center"/>
    </xf>
    <xf numFmtId="0" fontId="8" fillId="6" borderId="33" xfId="0" applyFont="1" applyFill="1" applyBorder="1" applyAlignment="1">
      <alignment horizontal="center" vertical="center"/>
    </xf>
    <xf numFmtId="0" fontId="8" fillId="0" borderId="0" xfId="0" applyFont="1" applyAlignment="1">
      <alignment horizontal="center" vertical="center"/>
    </xf>
    <xf numFmtId="0" fontId="0" fillId="19" borderId="58" xfId="0" applyFill="1" applyBorder="1">
      <alignment vertical="center"/>
    </xf>
    <xf numFmtId="0" fontId="0" fillId="19" borderId="0" xfId="0" applyFill="1">
      <alignment vertical="center"/>
    </xf>
    <xf numFmtId="0" fontId="22" fillId="0" borderId="58" xfId="1" applyFont="1" applyBorder="1" applyAlignment="1">
      <alignment horizontal="left" vertical="center"/>
    </xf>
    <xf numFmtId="0" fontId="22" fillId="0" borderId="0" xfId="1" applyFont="1" applyBorder="1" applyAlignment="1">
      <alignment horizontal="left" vertical="center"/>
    </xf>
    <xf numFmtId="0" fontId="17" fillId="2" borderId="0" xfId="0" applyFont="1" applyFill="1" applyAlignment="1">
      <alignment horizontal="center" vertical="center"/>
    </xf>
    <xf numFmtId="0" fontId="0" fillId="2" borderId="0" xfId="0" applyFill="1" applyAlignment="1">
      <alignment horizontal="center" vertical="center"/>
    </xf>
    <xf numFmtId="0" fontId="7" fillId="0" borderId="1" xfId="1" applyFont="1" applyFill="1" applyBorder="1" applyAlignment="1">
      <alignment horizontal="center" vertical="center"/>
    </xf>
    <xf numFmtId="0" fontId="4" fillId="0" borderId="1" xfId="0" applyFont="1" applyBorder="1" applyAlignment="1">
      <alignment horizontal="center" vertical="center"/>
    </xf>
    <xf numFmtId="0" fontId="17" fillId="0" borderId="0" xfId="0" applyFont="1" applyAlignment="1">
      <alignment horizontal="center" vertical="center"/>
    </xf>
    <xf numFmtId="0" fontId="10" fillId="0" borderId="11" xfId="1" applyBorder="1" applyAlignment="1">
      <alignment horizontal="center" vertical="center"/>
    </xf>
    <xf numFmtId="0" fontId="10" fillId="0" borderId="0" xfId="1" applyBorder="1" applyAlignment="1">
      <alignment horizontal="center" vertical="center"/>
    </xf>
    <xf numFmtId="0" fontId="8" fillId="0" borderId="1" xfId="0" applyFont="1" applyBorder="1" applyAlignment="1">
      <alignment horizontal="left" vertical="center"/>
    </xf>
    <xf numFmtId="0" fontId="23" fillId="4" borderId="31" xfId="0" applyFont="1" applyFill="1" applyBorder="1" applyAlignment="1">
      <alignment horizontal="center" vertical="center"/>
    </xf>
    <xf numFmtId="0" fontId="7" fillId="0" borderId="1" xfId="1" applyFont="1" applyFill="1" applyBorder="1" applyAlignment="1">
      <alignment horizontal="left"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17" fillId="17" borderId="1" xfId="0" applyFont="1" applyFill="1" applyBorder="1" applyAlignment="1">
      <alignment horizontal="center" vertical="center"/>
    </xf>
    <xf numFmtId="0" fontId="8" fillId="17" borderId="1" xfId="0" applyFont="1" applyFill="1" applyBorder="1" applyAlignment="1">
      <alignment horizontal="center" vertical="center"/>
    </xf>
    <xf numFmtId="0" fontId="8" fillId="0" borderId="0" xfId="0" applyFont="1" applyAlignment="1">
      <alignment horizontal="center" vertical="center" shrinkToFit="1"/>
    </xf>
    <xf numFmtId="0" fontId="0" fillId="0" borderId="1" xfId="0" applyBorder="1" applyAlignment="1">
      <alignment horizontal="center" vertical="center" shrinkToFit="1"/>
    </xf>
    <xf numFmtId="177" fontId="17" fillId="2" borderId="1" xfId="0" applyNumberFormat="1" applyFont="1" applyFill="1" applyBorder="1" applyAlignment="1">
      <alignment horizontal="center" vertical="center"/>
    </xf>
    <xf numFmtId="0" fontId="17" fillId="0" borderId="0" xfId="0" applyFont="1" applyAlignment="1">
      <alignment horizontal="center" vertical="center" shrinkToFit="1"/>
    </xf>
    <xf numFmtId="0" fontId="0" fillId="0" borderId="0" xfId="0" applyAlignment="1">
      <alignment horizontal="center" vertical="center"/>
    </xf>
    <xf numFmtId="0" fontId="27" fillId="0" borderId="1" xfId="0" applyFont="1" applyBorder="1" applyAlignment="1">
      <alignment horizontal="center" vertical="center"/>
    </xf>
    <xf numFmtId="0" fontId="8" fillId="0" borderId="0" xfId="0" applyFont="1">
      <alignment vertical="center"/>
    </xf>
    <xf numFmtId="0" fontId="8" fillId="6" borderId="1" xfId="0" applyFont="1" applyFill="1" applyBorder="1" applyAlignment="1">
      <alignment horizontal="center" vertical="center"/>
    </xf>
    <xf numFmtId="178" fontId="27" fillId="0" borderId="1" xfId="0" applyNumberFormat="1" applyFont="1" applyBorder="1" applyAlignment="1">
      <alignment horizontal="center" vertical="center"/>
    </xf>
    <xf numFmtId="178" fontId="0" fillId="3" borderId="0" xfId="0" applyNumberFormat="1" applyFill="1" applyAlignment="1">
      <alignment horizontal="center" vertical="center"/>
    </xf>
    <xf numFmtId="0" fontId="0" fillId="3" borderId="0" xfId="0" applyFill="1" applyAlignment="1">
      <alignment horizontal="right" vertical="center"/>
    </xf>
    <xf numFmtId="0" fontId="0" fillId="2" borderId="0" xfId="0" applyFill="1" applyAlignment="1">
      <alignment horizontal="right" vertical="center"/>
    </xf>
    <xf numFmtId="178" fontId="0" fillId="2" borderId="0" xfId="0" applyNumberFormat="1" applyFill="1" applyAlignment="1">
      <alignment horizontal="center" vertical="center"/>
    </xf>
    <xf numFmtId="0" fontId="0" fillId="0" borderId="0" xfId="0" applyAlignment="1">
      <alignment vertical="center" shrinkToFit="1"/>
    </xf>
    <xf numFmtId="0" fontId="0" fillId="2" borderId="0" xfId="0" applyFill="1">
      <alignment vertical="center"/>
    </xf>
    <xf numFmtId="176" fontId="33" fillId="0" borderId="0" xfId="1" applyNumberFormat="1" applyFont="1" applyAlignment="1">
      <alignment horizontal="center" vertical="center"/>
    </xf>
    <xf numFmtId="176" fontId="0" fillId="0" borderId="0" xfId="0" applyNumberFormat="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0" fillId="8" borderId="0" xfId="0" applyFill="1">
      <alignment vertical="center"/>
    </xf>
    <xf numFmtId="0" fontId="0" fillId="8" borderId="11" xfId="0" applyFill="1" applyBorder="1">
      <alignment vertical="center"/>
    </xf>
    <xf numFmtId="184" fontId="0" fillId="0" borderId="56" xfId="0" applyNumberFormat="1" applyBorder="1" applyAlignment="1">
      <alignment horizontal="center" vertical="center"/>
    </xf>
    <xf numFmtId="184" fontId="0" fillId="0" borderId="57" xfId="0" applyNumberFormat="1" applyBorder="1" applyAlignment="1">
      <alignment horizontal="center" vertical="center"/>
    </xf>
    <xf numFmtId="176" fontId="8" fillId="0" borderId="0" xfId="0" applyNumberFormat="1" applyFont="1">
      <alignment vertical="center"/>
    </xf>
    <xf numFmtId="0" fontId="16" fillId="0" borderId="0" xfId="0" applyFont="1" applyAlignment="1">
      <alignment horizontal="center" vertical="center" shrinkToFit="1"/>
    </xf>
    <xf numFmtId="176" fontId="0" fillId="0" borderId="0" xfId="0" applyNumberFormat="1">
      <alignment vertical="center"/>
    </xf>
  </cellXfs>
  <cellStyles count="2">
    <cellStyle name="ハイパーリンク" xfId="1" builtinId="8"/>
    <cellStyle name="標準" xfId="0" builtinId="0"/>
  </cellStyles>
  <dxfs count="12">
    <dxf>
      <font>
        <color rgb="FF9C0006"/>
      </font>
      <fill>
        <patternFill>
          <bgColor rgb="FFFFC7CE"/>
        </patternFill>
      </fill>
    </dxf>
    <dxf>
      <fill>
        <patternFill>
          <bgColor rgb="FFFF7575"/>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patternType="none">
          <bgColor auto="1"/>
        </patternFill>
      </fill>
    </dxf>
    <dxf>
      <font>
        <color rgb="FF9C0006"/>
      </font>
      <fill>
        <patternFill>
          <bgColor rgb="FFFFC7CE"/>
        </patternFill>
      </fill>
    </dxf>
    <dxf>
      <fill>
        <patternFill>
          <bgColor rgb="FFFF7575"/>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et0123club.net/fx-hfm/st3bt/level2.htm" TargetMode="External"/><Relationship Id="rId13" Type="http://schemas.openxmlformats.org/officeDocument/2006/relationships/hyperlink" Target="https://net0123club.net/fx-hfm/st3bt/level5.htm" TargetMode="External"/><Relationship Id="rId3" Type="http://schemas.openxmlformats.org/officeDocument/2006/relationships/hyperlink" Target="https://net0123club.net/fx-hfm/st3bt/level3.htm" TargetMode="External"/><Relationship Id="rId7" Type="http://schemas.openxmlformats.org/officeDocument/2006/relationships/hyperlink" Target="https://net0123club.net/fxcontents/stable3slong.pdf" TargetMode="External"/><Relationship Id="rId12" Type="http://schemas.openxmlformats.org/officeDocument/2006/relationships/hyperlink" Target="https://net0123club.net/fx-hfm/st3bt/level4.htm" TargetMode="External"/><Relationship Id="rId2" Type="http://schemas.openxmlformats.org/officeDocument/2006/relationships/hyperlink" Target="https://net0123club.net/fx-hfm/st3bt/level1.htm" TargetMode="External"/><Relationship Id="rId16" Type="http://schemas.openxmlformats.org/officeDocument/2006/relationships/printerSettings" Target="../printerSettings/printerSettings2.bin"/><Relationship Id="rId1" Type="http://schemas.openxmlformats.org/officeDocument/2006/relationships/hyperlink" Target="https://net0123club.net/fx-hfm/st3bt/level6.htm" TargetMode="External"/><Relationship Id="rId6" Type="http://schemas.openxmlformats.org/officeDocument/2006/relationships/hyperlink" Target="https://net0123club.net/fx-hfm/st3bt/level7.htm" TargetMode="External"/><Relationship Id="rId11" Type="http://schemas.openxmlformats.org/officeDocument/2006/relationships/hyperlink" Target="https://net0123club.net/fx-hfm/st3bt/level3.htm" TargetMode="External"/><Relationship Id="rId5" Type="http://schemas.openxmlformats.org/officeDocument/2006/relationships/hyperlink" Target="https://net0123club.net/fx-hfm/st3bt/level5.htm" TargetMode="External"/><Relationship Id="rId15" Type="http://schemas.openxmlformats.org/officeDocument/2006/relationships/hyperlink" Target="https://net0123club.net/fx-hfm/st3bt/level2.htm" TargetMode="External"/><Relationship Id="rId10" Type="http://schemas.openxmlformats.org/officeDocument/2006/relationships/hyperlink" Target="https://net0123club.net/fx-hfm/st3bt/level1.htm" TargetMode="External"/><Relationship Id="rId4" Type="http://schemas.openxmlformats.org/officeDocument/2006/relationships/hyperlink" Target="https://net0123club.net/fx-hfm/st3bt/level4.htm" TargetMode="External"/><Relationship Id="rId9" Type="http://schemas.openxmlformats.org/officeDocument/2006/relationships/hyperlink" Target="https://net0123club.net/fx-hfm/st3bt/level6.htm" TargetMode="External"/><Relationship Id="rId14" Type="http://schemas.openxmlformats.org/officeDocument/2006/relationships/hyperlink" Target="https://net0123club.net/fx-hfm/st3bt/level7.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net0123club.net/fx-hfm/st3bt/level4.htm" TargetMode="External"/><Relationship Id="rId7" Type="http://schemas.openxmlformats.org/officeDocument/2006/relationships/hyperlink" Target="https://net0123club.net/fx-hfm/st3bt/level7.htm" TargetMode="External"/><Relationship Id="rId2" Type="http://schemas.openxmlformats.org/officeDocument/2006/relationships/hyperlink" Target="https://net0123club.net/fx-hfm/st3bt/level3.htm" TargetMode="External"/><Relationship Id="rId1" Type="http://schemas.openxmlformats.org/officeDocument/2006/relationships/hyperlink" Target="https://net0123club.net/fx-hfm/st3bt/level1.htm" TargetMode="External"/><Relationship Id="rId6" Type="http://schemas.openxmlformats.org/officeDocument/2006/relationships/hyperlink" Target="https://net0123club.net/fx-hfm/st3bt/level6.htm" TargetMode="External"/><Relationship Id="rId5" Type="http://schemas.openxmlformats.org/officeDocument/2006/relationships/hyperlink" Target="https://net0123club.net/fx-hfm/st3bt/level2.htm" TargetMode="External"/><Relationship Id="rId4" Type="http://schemas.openxmlformats.org/officeDocument/2006/relationships/hyperlink" Target="https://net0123club.net/fx-hfm/st3bt/level5.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CAA8-AD8B-4814-AB21-BCE44CAC6A7C}">
  <sheetPr>
    <tabColor rgb="FF00B0F0"/>
    <pageSetUpPr fitToPage="1"/>
  </sheetPr>
  <dimension ref="A3:W56"/>
  <sheetViews>
    <sheetView topLeftCell="C1" workbookViewId="0">
      <selection activeCell="U10" sqref="U10"/>
    </sheetView>
  </sheetViews>
  <sheetFormatPr defaultRowHeight="18"/>
  <cols>
    <col min="2" max="2" width="9.3984375" bestFit="1" customWidth="1"/>
    <col min="11" max="12" width="8.796875" customWidth="1"/>
    <col min="14" max="15" width="9.59765625" customWidth="1"/>
    <col min="16" max="17" width="11" bestFit="1" customWidth="1"/>
    <col min="18" max="22" width="9.59765625" customWidth="1"/>
  </cols>
  <sheetData>
    <row r="3" spans="2:23">
      <c r="B3" t="s">
        <v>107</v>
      </c>
    </row>
    <row r="4" spans="2:23">
      <c r="B4" s="40" t="s">
        <v>0</v>
      </c>
      <c r="C4" s="41" t="s">
        <v>25</v>
      </c>
      <c r="D4" s="42" t="s">
        <v>26</v>
      </c>
      <c r="E4" s="42" t="s">
        <v>27</v>
      </c>
      <c r="F4" s="42" t="s">
        <v>28</v>
      </c>
      <c r="G4" s="42" t="s">
        <v>29</v>
      </c>
      <c r="H4" s="42" t="s">
        <v>30</v>
      </c>
      <c r="I4" s="42" t="s">
        <v>31</v>
      </c>
      <c r="J4" s="42" t="s">
        <v>32</v>
      </c>
      <c r="K4" s="42" t="s">
        <v>39</v>
      </c>
      <c r="L4" s="42" t="s">
        <v>40</v>
      </c>
      <c r="M4" s="25"/>
      <c r="N4" s="43" t="s">
        <v>12</v>
      </c>
      <c r="O4" s="44" t="s">
        <v>13</v>
      </c>
      <c r="P4" s="45" t="s">
        <v>11</v>
      </c>
      <c r="Q4" s="45" t="s">
        <v>33</v>
      </c>
      <c r="R4" s="45" t="s">
        <v>34</v>
      </c>
      <c r="S4" s="46" t="s">
        <v>35</v>
      </c>
      <c r="T4" s="46" t="s">
        <v>36</v>
      </c>
      <c r="U4" s="47" t="s">
        <v>37</v>
      </c>
      <c r="V4" s="48" t="s">
        <v>38</v>
      </c>
      <c r="W4" s="49" t="s">
        <v>10</v>
      </c>
    </row>
    <row r="5" spans="2:23">
      <c r="B5" s="50" t="s">
        <v>1</v>
      </c>
      <c r="C5" s="51">
        <v>8</v>
      </c>
      <c r="D5" s="52">
        <v>10</v>
      </c>
      <c r="E5" s="53">
        <v>9</v>
      </c>
      <c r="F5" s="52">
        <v>11</v>
      </c>
      <c r="G5" s="53">
        <v>9</v>
      </c>
      <c r="H5" s="54"/>
      <c r="I5" s="54"/>
      <c r="J5" s="54"/>
      <c r="K5" s="54"/>
      <c r="L5" s="54"/>
      <c r="M5" s="25"/>
      <c r="N5" s="25">
        <v>1</v>
      </c>
      <c r="O5" s="25">
        <v>2</v>
      </c>
      <c r="P5" s="25">
        <v>1</v>
      </c>
      <c r="Q5" s="25">
        <v>1</v>
      </c>
      <c r="R5" s="25"/>
      <c r="S5" s="25"/>
      <c r="T5" s="25"/>
      <c r="U5" s="25"/>
      <c r="V5" s="25"/>
      <c r="W5" s="25"/>
    </row>
    <row r="6" spans="2:23">
      <c r="B6" s="55" t="s">
        <v>2</v>
      </c>
      <c r="C6" s="56">
        <v>8</v>
      </c>
      <c r="D6" s="57">
        <v>8</v>
      </c>
      <c r="E6" s="58">
        <v>9</v>
      </c>
      <c r="F6" s="58">
        <v>9</v>
      </c>
      <c r="G6" s="58">
        <v>9</v>
      </c>
      <c r="H6" s="59"/>
      <c r="I6" s="59"/>
      <c r="J6" s="59"/>
      <c r="K6" s="59"/>
      <c r="L6" s="59"/>
      <c r="M6" s="25"/>
      <c r="N6" s="25">
        <v>2</v>
      </c>
      <c r="O6" s="25">
        <v>3</v>
      </c>
      <c r="P6" s="25"/>
      <c r="Q6" s="25"/>
      <c r="R6" s="25"/>
      <c r="S6" s="25"/>
      <c r="T6" s="25"/>
      <c r="U6" s="25"/>
      <c r="V6" s="25"/>
      <c r="W6" s="25"/>
    </row>
    <row r="7" spans="2:23">
      <c r="B7" s="55" t="s">
        <v>3</v>
      </c>
      <c r="C7" s="60">
        <v>9</v>
      </c>
      <c r="D7" s="57">
        <v>8</v>
      </c>
      <c r="E7" s="57">
        <v>8</v>
      </c>
      <c r="F7" s="61">
        <v>14</v>
      </c>
      <c r="G7" s="62">
        <v>10</v>
      </c>
      <c r="H7" s="57">
        <v>8</v>
      </c>
      <c r="I7" s="57">
        <v>8</v>
      </c>
      <c r="J7" s="61">
        <v>14</v>
      </c>
      <c r="K7" s="59"/>
      <c r="L7" s="59"/>
      <c r="M7" s="25"/>
      <c r="N7" s="25">
        <v>4</v>
      </c>
      <c r="O7" s="25">
        <v>1</v>
      </c>
      <c r="P7" s="25">
        <v>1</v>
      </c>
      <c r="Q7" s="25"/>
      <c r="R7" s="25"/>
      <c r="S7" s="25"/>
      <c r="T7" s="25">
        <v>2</v>
      </c>
      <c r="U7" s="25"/>
      <c r="V7" s="25"/>
      <c r="W7" s="25"/>
    </row>
    <row r="8" spans="2:23">
      <c r="B8" s="55" t="s">
        <v>4</v>
      </c>
      <c r="C8" s="63">
        <v>10</v>
      </c>
      <c r="D8" s="61">
        <v>13</v>
      </c>
      <c r="E8" s="61">
        <v>14</v>
      </c>
      <c r="F8" s="57">
        <v>8</v>
      </c>
      <c r="G8" s="62">
        <v>10</v>
      </c>
      <c r="H8" s="59"/>
      <c r="I8" s="59"/>
      <c r="J8" s="59"/>
      <c r="K8" s="59"/>
      <c r="L8" s="59"/>
      <c r="M8" s="25"/>
      <c r="N8" s="25">
        <v>1</v>
      </c>
      <c r="O8" s="25"/>
      <c r="P8" s="25">
        <v>2</v>
      </c>
      <c r="Q8" s="25"/>
      <c r="R8" s="25"/>
      <c r="S8" s="25">
        <v>1</v>
      </c>
      <c r="T8" s="25">
        <v>1</v>
      </c>
      <c r="U8" s="25"/>
      <c r="V8" s="25"/>
      <c r="W8" s="25"/>
    </row>
    <row r="9" spans="2:23">
      <c r="B9" s="55" t="s">
        <v>5</v>
      </c>
      <c r="C9" s="63">
        <v>12</v>
      </c>
      <c r="D9" s="62">
        <v>10</v>
      </c>
      <c r="E9" s="59"/>
      <c r="F9" s="59"/>
      <c r="G9" s="59"/>
      <c r="H9" s="59"/>
      <c r="I9" s="59"/>
      <c r="J9" s="59"/>
      <c r="K9" s="59"/>
      <c r="L9" s="59"/>
      <c r="M9" s="25"/>
      <c r="N9" s="25"/>
      <c r="O9" s="25"/>
      <c r="P9" s="25">
        <v>1</v>
      </c>
      <c r="Q9" s="25"/>
      <c r="R9" s="25">
        <v>1</v>
      </c>
      <c r="S9" s="25"/>
      <c r="T9" s="25"/>
      <c r="U9" s="25"/>
      <c r="V9" s="25"/>
      <c r="W9" s="25"/>
    </row>
    <row r="10" spans="2:23">
      <c r="B10" s="55" t="s">
        <v>6</v>
      </c>
      <c r="C10" s="64">
        <v>15</v>
      </c>
      <c r="D10" s="62">
        <v>10</v>
      </c>
      <c r="E10" s="57">
        <v>8</v>
      </c>
      <c r="F10" s="59"/>
      <c r="G10" s="59"/>
      <c r="H10" s="59"/>
      <c r="I10" s="59"/>
      <c r="J10" s="59"/>
      <c r="K10" s="59"/>
      <c r="L10" s="59"/>
      <c r="M10" s="25"/>
      <c r="N10" s="25">
        <v>1</v>
      </c>
      <c r="O10" s="25"/>
      <c r="P10" s="25">
        <v>1</v>
      </c>
      <c r="Q10" s="25"/>
      <c r="R10" s="25"/>
      <c r="S10" s="25"/>
      <c r="T10" s="25"/>
      <c r="U10" s="25">
        <v>1</v>
      </c>
      <c r="V10" s="25"/>
      <c r="W10" s="25"/>
    </row>
    <row r="11" spans="2:23">
      <c r="B11" s="55" t="s">
        <v>7</v>
      </c>
      <c r="C11" s="63">
        <v>12</v>
      </c>
      <c r="D11" s="58">
        <v>9</v>
      </c>
      <c r="E11" s="62">
        <v>10</v>
      </c>
      <c r="F11" s="61">
        <v>14</v>
      </c>
      <c r="G11" s="62">
        <v>11</v>
      </c>
      <c r="H11" s="62">
        <v>10</v>
      </c>
      <c r="I11" s="59"/>
      <c r="J11" s="59"/>
      <c r="K11" s="59"/>
      <c r="L11" s="59"/>
      <c r="M11" s="25"/>
      <c r="N11" s="25"/>
      <c r="O11" s="25">
        <v>1</v>
      </c>
      <c r="P11" s="25">
        <v>2</v>
      </c>
      <c r="Q11" s="25">
        <v>1</v>
      </c>
      <c r="R11" s="25">
        <v>1</v>
      </c>
      <c r="S11" s="25"/>
      <c r="T11" s="25">
        <v>1</v>
      </c>
      <c r="U11" s="25"/>
      <c r="V11" s="25"/>
      <c r="W11" s="25"/>
    </row>
    <row r="12" spans="2:23">
      <c r="B12" s="55" t="s">
        <v>8</v>
      </c>
      <c r="C12" s="56">
        <v>8</v>
      </c>
      <c r="D12" s="56">
        <v>8</v>
      </c>
      <c r="E12" s="58">
        <v>9</v>
      </c>
      <c r="F12" s="59"/>
      <c r="G12" s="59"/>
      <c r="H12" s="59"/>
      <c r="I12" s="59"/>
      <c r="J12" s="59"/>
      <c r="K12" s="59"/>
      <c r="L12" s="59"/>
      <c r="M12" s="25"/>
      <c r="N12" s="25">
        <v>2</v>
      </c>
      <c r="O12" s="25">
        <v>1</v>
      </c>
      <c r="P12" s="25"/>
      <c r="Q12" s="25"/>
      <c r="R12" s="25"/>
      <c r="S12" s="25"/>
      <c r="T12" s="25"/>
      <c r="U12" s="25"/>
      <c r="V12" s="25"/>
      <c r="W12" s="25"/>
    </row>
    <row r="13" spans="2:23">
      <c r="B13" s="55" t="s">
        <v>9</v>
      </c>
      <c r="C13" s="56">
        <v>8</v>
      </c>
      <c r="D13" s="56">
        <v>8</v>
      </c>
      <c r="E13" s="59"/>
      <c r="F13" s="59"/>
      <c r="G13" s="59"/>
      <c r="H13" s="59"/>
      <c r="I13" s="59"/>
      <c r="J13" s="59"/>
      <c r="K13" s="59"/>
      <c r="L13" s="59"/>
      <c r="M13" s="25"/>
      <c r="N13" s="25">
        <v>2</v>
      </c>
      <c r="O13" s="25"/>
      <c r="P13" s="25"/>
      <c r="Q13" s="25"/>
      <c r="R13" s="25"/>
      <c r="S13" s="25"/>
      <c r="T13" s="25"/>
      <c r="U13" s="25"/>
      <c r="V13" s="25"/>
      <c r="W13" s="25"/>
    </row>
    <row r="14" spans="2:23">
      <c r="B14" s="55" t="s">
        <v>147</v>
      </c>
      <c r="C14" s="60">
        <v>9</v>
      </c>
      <c r="D14" s="62">
        <v>10</v>
      </c>
      <c r="E14" s="59"/>
      <c r="F14" s="59"/>
      <c r="G14" s="59"/>
      <c r="H14" s="59"/>
      <c r="I14" s="59"/>
      <c r="J14" s="59"/>
      <c r="K14" s="59"/>
      <c r="L14" s="59"/>
      <c r="M14" s="25"/>
      <c r="N14" s="25"/>
      <c r="O14" s="25">
        <v>1</v>
      </c>
      <c r="P14" s="25">
        <v>1</v>
      </c>
      <c r="Q14" s="25"/>
      <c r="R14" s="25"/>
      <c r="S14" s="25"/>
      <c r="T14" s="25"/>
      <c r="U14" s="25"/>
      <c r="V14" s="25"/>
      <c r="W14" s="25"/>
    </row>
    <row r="15" spans="2:23">
      <c r="B15" s="25"/>
      <c r="C15" s="25"/>
      <c r="D15" s="25"/>
      <c r="E15" s="25"/>
      <c r="F15" s="25"/>
      <c r="G15" s="25"/>
      <c r="H15" s="25"/>
      <c r="I15" s="25"/>
      <c r="J15" s="25"/>
      <c r="K15" s="25"/>
      <c r="L15" s="25"/>
      <c r="M15" s="25"/>
      <c r="N15" s="25"/>
      <c r="O15" s="25"/>
      <c r="P15" s="25"/>
      <c r="Q15" s="25"/>
      <c r="R15" s="25"/>
      <c r="S15" s="25"/>
      <c r="T15" s="25"/>
      <c r="U15" s="25"/>
      <c r="V15" s="25"/>
      <c r="W15" s="25"/>
    </row>
    <row r="17" spans="2:18">
      <c r="O17" s="219" t="s">
        <v>67</v>
      </c>
      <c r="P17" s="219"/>
      <c r="Q17" s="219"/>
    </row>
    <row r="18" spans="2:18">
      <c r="B18" t="s">
        <v>46</v>
      </c>
      <c r="N18" s="25" t="s">
        <v>68</v>
      </c>
      <c r="O18" s="18">
        <v>1.6</v>
      </c>
      <c r="P18" s="18">
        <v>1.65</v>
      </c>
      <c r="Q18" s="18">
        <v>1.72</v>
      </c>
    </row>
    <row r="19" spans="2:18" ht="18.600000000000001" thickBot="1">
      <c r="B19" s="25" t="s">
        <v>41</v>
      </c>
      <c r="C19" s="25" t="s">
        <v>42</v>
      </c>
      <c r="D19" s="71" t="s">
        <v>52</v>
      </c>
      <c r="E19" s="25"/>
      <c r="F19" s="25"/>
      <c r="G19" s="19" t="s">
        <v>37</v>
      </c>
      <c r="H19" s="19" t="s">
        <v>38</v>
      </c>
      <c r="I19" s="19" t="s">
        <v>53</v>
      </c>
      <c r="J19" s="19" t="s">
        <v>54</v>
      </c>
      <c r="K19" s="19" t="s">
        <v>55</v>
      </c>
      <c r="L19" s="19" t="s">
        <v>56</v>
      </c>
      <c r="M19" s="19" t="s">
        <v>57</v>
      </c>
      <c r="N19" s="30"/>
      <c r="O19" s="37"/>
      <c r="P19" s="31"/>
      <c r="Q19" s="31"/>
    </row>
    <row r="20" spans="2:18" ht="18.600000000000001" thickTop="1">
      <c r="B20" s="20">
        <v>20170117</v>
      </c>
      <c r="C20" s="20">
        <v>15</v>
      </c>
      <c r="D20" s="94" t="s">
        <v>47</v>
      </c>
      <c r="E20" s="94"/>
      <c r="F20" s="25"/>
      <c r="G20" s="20" t="s">
        <v>58</v>
      </c>
      <c r="H20" s="20"/>
      <c r="I20" s="20"/>
      <c r="J20" s="20"/>
      <c r="K20" s="20"/>
      <c r="L20" s="20"/>
      <c r="M20" s="20"/>
      <c r="N20" s="18" t="s">
        <v>59</v>
      </c>
      <c r="O20" s="29">
        <v>3531312</v>
      </c>
      <c r="P20" s="29">
        <v>6218028</v>
      </c>
      <c r="Q20" s="29">
        <v>13040319</v>
      </c>
    </row>
    <row r="21" spans="2:18">
      <c r="B21" s="18">
        <v>20170315</v>
      </c>
      <c r="C21" s="18">
        <v>15</v>
      </c>
      <c r="D21" s="71"/>
      <c r="E21" s="71"/>
      <c r="F21" s="25"/>
      <c r="G21" s="18" t="s">
        <v>58</v>
      </c>
      <c r="H21" s="18"/>
      <c r="I21" s="18"/>
      <c r="J21" s="18"/>
      <c r="K21" s="18"/>
      <c r="L21" s="18"/>
      <c r="M21" s="18"/>
      <c r="N21" s="32"/>
      <c r="O21" s="34"/>
      <c r="P21" s="34"/>
      <c r="Q21" s="34"/>
    </row>
    <row r="22" spans="2:18">
      <c r="B22" s="18">
        <v>20170322</v>
      </c>
      <c r="C22" s="18">
        <v>15</v>
      </c>
      <c r="D22" s="71"/>
      <c r="E22" s="71"/>
      <c r="F22" s="25"/>
      <c r="G22" s="18" t="s">
        <v>58</v>
      </c>
      <c r="H22" s="18"/>
      <c r="I22" s="18"/>
      <c r="J22" s="18"/>
      <c r="K22" s="18"/>
      <c r="L22" s="18"/>
      <c r="M22" s="18"/>
      <c r="N22" s="33"/>
      <c r="O22" s="35"/>
      <c r="P22" s="35"/>
      <c r="Q22" s="35"/>
    </row>
    <row r="23" spans="2:18">
      <c r="B23" s="18">
        <v>20170404</v>
      </c>
      <c r="C23" s="18">
        <v>15</v>
      </c>
      <c r="D23" s="71"/>
      <c r="E23" s="71"/>
      <c r="F23" s="25"/>
      <c r="G23" s="18" t="s">
        <v>58</v>
      </c>
      <c r="H23" s="18"/>
      <c r="I23" s="18"/>
      <c r="J23" s="18"/>
      <c r="K23" s="18"/>
      <c r="L23" s="18"/>
      <c r="M23" s="18"/>
      <c r="N23" s="33"/>
      <c r="O23" s="35"/>
      <c r="P23" s="35"/>
      <c r="Q23" s="35"/>
    </row>
    <row r="24" spans="2:18">
      <c r="B24" s="18">
        <v>20170518</v>
      </c>
      <c r="C24" s="18">
        <v>15</v>
      </c>
      <c r="D24" s="71"/>
      <c r="E24" s="71"/>
      <c r="F24" s="25"/>
      <c r="G24" s="18" t="s">
        <v>58</v>
      </c>
      <c r="H24" s="18"/>
      <c r="I24" s="18"/>
      <c r="J24" s="18"/>
      <c r="K24" s="18"/>
      <c r="L24" s="18"/>
      <c r="M24" s="18"/>
      <c r="N24" s="33"/>
      <c r="O24" s="35"/>
      <c r="P24" s="35"/>
      <c r="Q24" s="35"/>
    </row>
    <row r="25" spans="2:18" ht="18.600000000000001" thickBot="1">
      <c r="B25" s="19">
        <v>20170607</v>
      </c>
      <c r="C25" s="19">
        <v>17</v>
      </c>
      <c r="D25" s="71"/>
      <c r="E25" s="71"/>
      <c r="F25" s="25"/>
      <c r="G25" s="19"/>
      <c r="H25" s="19"/>
      <c r="I25" s="19" t="s">
        <v>58</v>
      </c>
      <c r="J25" s="19"/>
      <c r="K25" s="19"/>
      <c r="L25" s="19"/>
      <c r="M25" s="19"/>
      <c r="N25" s="30"/>
      <c r="O25" s="36"/>
      <c r="P25" s="36"/>
      <c r="Q25" s="36"/>
    </row>
    <row r="26" spans="2:18" ht="19.2" thickTop="1" thickBot="1">
      <c r="B26" s="24">
        <v>20180124</v>
      </c>
      <c r="C26" s="24">
        <v>17</v>
      </c>
      <c r="D26" s="95" t="s">
        <v>48</v>
      </c>
      <c r="E26" s="96"/>
      <c r="F26" s="25"/>
      <c r="G26" s="24"/>
      <c r="H26" s="24"/>
      <c r="I26" s="24" t="s">
        <v>58</v>
      </c>
      <c r="J26" s="24"/>
      <c r="K26" s="24"/>
      <c r="L26" s="24"/>
      <c r="M26" s="24"/>
      <c r="N26" s="18" t="s">
        <v>60</v>
      </c>
      <c r="O26" s="29">
        <v>1644915</v>
      </c>
      <c r="P26" s="29">
        <v>2755689</v>
      </c>
      <c r="Q26" s="29">
        <v>5570100</v>
      </c>
    </row>
    <row r="27" spans="2:18" ht="18.600000000000001" thickTop="1">
      <c r="B27" s="69">
        <v>20190805</v>
      </c>
      <c r="C27" s="69">
        <v>21</v>
      </c>
      <c r="D27" s="71" t="s">
        <v>49</v>
      </c>
      <c r="E27" s="71"/>
      <c r="F27" s="25"/>
      <c r="G27" s="23"/>
      <c r="H27" s="23"/>
      <c r="I27" s="23"/>
      <c r="J27" s="23"/>
      <c r="K27" s="23"/>
      <c r="L27" s="23"/>
      <c r="M27" s="23" t="s">
        <v>58</v>
      </c>
      <c r="N27" s="18" t="s">
        <v>61</v>
      </c>
      <c r="O27" s="29">
        <v>6681108</v>
      </c>
      <c r="P27" s="29">
        <v>15291726</v>
      </c>
      <c r="Q27" s="29">
        <v>42461424</v>
      </c>
    </row>
    <row r="28" spans="2:18" ht="18.600000000000001" thickBot="1">
      <c r="B28" s="21">
        <v>20191007</v>
      </c>
      <c r="C28" s="21">
        <v>20</v>
      </c>
      <c r="D28" s="97"/>
      <c r="E28" s="98"/>
      <c r="F28" s="25"/>
      <c r="G28" s="19"/>
      <c r="H28" s="19"/>
      <c r="I28" s="19"/>
      <c r="J28" s="19"/>
      <c r="K28" s="19"/>
      <c r="L28" s="19" t="s">
        <v>58</v>
      </c>
      <c r="M28" s="19"/>
      <c r="O28" s="39"/>
      <c r="P28" s="28"/>
      <c r="Q28" s="39"/>
      <c r="R28" s="38"/>
    </row>
    <row r="29" spans="2:18" ht="18.600000000000001" thickTop="1">
      <c r="B29" s="23">
        <v>20200302</v>
      </c>
      <c r="C29" s="23">
        <v>20</v>
      </c>
      <c r="D29" s="71" t="s">
        <v>50</v>
      </c>
      <c r="E29" s="71"/>
      <c r="F29" s="25"/>
      <c r="G29" s="20"/>
      <c r="H29" s="20"/>
      <c r="I29" s="20"/>
      <c r="J29" s="20"/>
      <c r="K29" s="20"/>
      <c r="L29" s="20" t="s">
        <v>58</v>
      </c>
      <c r="M29" s="20"/>
      <c r="N29" s="18" t="s">
        <v>62</v>
      </c>
      <c r="O29" s="29">
        <v>5407458</v>
      </c>
      <c r="P29" s="29">
        <v>10967418</v>
      </c>
      <c r="Q29" s="29">
        <v>27478089</v>
      </c>
    </row>
    <row r="30" spans="2:18">
      <c r="B30" s="18">
        <v>20200326</v>
      </c>
      <c r="C30" s="18">
        <v>16</v>
      </c>
      <c r="D30" s="71"/>
      <c r="E30" s="71"/>
      <c r="F30" s="25"/>
      <c r="G30" s="18"/>
      <c r="H30" s="18" t="s">
        <v>58</v>
      </c>
      <c r="I30" s="18"/>
      <c r="J30" s="18"/>
      <c r="K30" s="18"/>
      <c r="L30" s="18"/>
      <c r="M30" s="18"/>
      <c r="N30" s="32"/>
      <c r="O30" s="34"/>
      <c r="P30" s="34"/>
      <c r="Q30" s="34"/>
    </row>
    <row r="31" spans="2:18">
      <c r="B31" s="18">
        <v>20200415</v>
      </c>
      <c r="C31" s="18">
        <v>18</v>
      </c>
      <c r="D31" s="71"/>
      <c r="E31" s="71"/>
      <c r="F31" s="25"/>
      <c r="G31" s="18"/>
      <c r="H31" s="18"/>
      <c r="I31" s="18"/>
      <c r="J31" s="18" t="s">
        <v>58</v>
      </c>
      <c r="K31" s="18"/>
      <c r="L31" s="18"/>
      <c r="M31" s="18"/>
      <c r="N31" s="33"/>
      <c r="O31" s="35"/>
      <c r="P31" s="35"/>
      <c r="Q31" s="35"/>
    </row>
    <row r="32" spans="2:18">
      <c r="B32" s="18">
        <v>20200819</v>
      </c>
      <c r="C32" s="18">
        <v>18</v>
      </c>
      <c r="D32" s="71"/>
      <c r="E32" s="71"/>
      <c r="F32" s="25"/>
      <c r="G32" s="18"/>
      <c r="H32" s="18"/>
      <c r="I32" s="18"/>
      <c r="J32" s="18" t="s">
        <v>58</v>
      </c>
      <c r="K32" s="18"/>
      <c r="L32" s="18"/>
      <c r="M32" s="18"/>
      <c r="N32" s="33"/>
      <c r="O32" s="35"/>
      <c r="P32" s="35"/>
      <c r="Q32" s="35"/>
    </row>
    <row r="33" spans="1:23" ht="18.600000000000001" thickBot="1">
      <c r="B33" s="19">
        <v>20201106</v>
      </c>
      <c r="C33" s="19">
        <v>15</v>
      </c>
      <c r="D33" s="71"/>
      <c r="E33" s="71"/>
      <c r="F33" s="25"/>
      <c r="G33" s="21" t="s">
        <v>58</v>
      </c>
      <c r="H33" s="21"/>
      <c r="I33" s="21"/>
      <c r="J33" s="21"/>
      <c r="K33" s="21"/>
      <c r="L33" s="21"/>
      <c r="M33" s="21"/>
      <c r="N33" s="30"/>
      <c r="O33" s="36"/>
      <c r="P33" s="36"/>
      <c r="Q33" s="36"/>
    </row>
    <row r="34" spans="1:23" ht="19.2" thickTop="1" thickBot="1">
      <c r="A34" t="s">
        <v>44</v>
      </c>
      <c r="B34" s="70">
        <v>20210419</v>
      </c>
      <c r="C34" s="70">
        <v>13</v>
      </c>
      <c r="D34" s="99" t="s">
        <v>45</v>
      </c>
      <c r="E34" s="100"/>
      <c r="F34" s="48"/>
      <c r="G34" s="22"/>
      <c r="H34" s="22"/>
      <c r="I34" s="22"/>
      <c r="J34" s="22"/>
      <c r="K34" s="22"/>
      <c r="L34" s="22"/>
      <c r="M34" s="22"/>
      <c r="N34" s="18" t="s">
        <v>63</v>
      </c>
      <c r="O34" s="29">
        <v>586062</v>
      </c>
      <c r="P34" s="29">
        <v>818820</v>
      </c>
      <c r="Q34" s="29">
        <v>1290381</v>
      </c>
    </row>
    <row r="35" spans="1:23" ht="18.600000000000001" thickTop="1">
      <c r="B35" s="23">
        <v>20220701</v>
      </c>
      <c r="C35" s="23">
        <v>19</v>
      </c>
      <c r="D35" s="71" t="s">
        <v>51</v>
      </c>
      <c r="E35" s="71"/>
      <c r="F35" s="25"/>
      <c r="G35" s="20"/>
      <c r="H35" s="20"/>
      <c r="I35" s="20"/>
      <c r="J35" s="20"/>
      <c r="K35" s="20" t="s">
        <v>58</v>
      </c>
      <c r="L35" s="20"/>
      <c r="M35" s="20"/>
      <c r="N35" s="18" t="s">
        <v>64</v>
      </c>
      <c r="O35" s="29">
        <v>6127836</v>
      </c>
      <c r="P35" s="29">
        <v>11597865</v>
      </c>
      <c r="Q35" s="29">
        <v>27276186</v>
      </c>
    </row>
    <row r="36" spans="1:23">
      <c r="B36" s="18">
        <v>20220830</v>
      </c>
      <c r="C36" s="18">
        <v>15</v>
      </c>
      <c r="D36" s="71"/>
      <c r="E36" s="71"/>
      <c r="F36" s="25"/>
      <c r="G36" s="18" t="s">
        <v>58</v>
      </c>
      <c r="H36" s="18"/>
      <c r="I36" s="18"/>
      <c r="J36" s="18"/>
      <c r="K36" s="18"/>
      <c r="L36" s="18"/>
      <c r="M36" s="18"/>
    </row>
    <row r="37" spans="1:23">
      <c r="B37" s="18">
        <v>20221027</v>
      </c>
      <c r="C37" s="18">
        <v>19</v>
      </c>
      <c r="D37" s="71"/>
      <c r="E37" s="71"/>
      <c r="F37" s="25"/>
      <c r="G37" s="18"/>
      <c r="H37" s="18"/>
      <c r="I37" s="18"/>
      <c r="J37" s="18"/>
      <c r="K37" s="18" t="s">
        <v>58</v>
      </c>
      <c r="L37" s="18"/>
      <c r="M37" s="18"/>
    </row>
    <row r="38" spans="1:23" ht="18.600000000000001" thickBot="1">
      <c r="B38" s="21">
        <v>20221201</v>
      </c>
      <c r="C38" s="21">
        <v>16</v>
      </c>
      <c r="D38" s="98"/>
      <c r="E38" s="98"/>
      <c r="F38" s="25"/>
      <c r="G38" s="21"/>
      <c r="H38" s="21" t="s">
        <v>58</v>
      </c>
      <c r="I38" s="21"/>
      <c r="J38" s="21"/>
      <c r="K38" s="21"/>
      <c r="L38" s="21"/>
      <c r="M38" s="21"/>
    </row>
    <row r="39" spans="1:23" ht="18.600000000000001" thickTop="1">
      <c r="B39" s="25"/>
      <c r="C39" s="25"/>
      <c r="D39" s="25"/>
      <c r="E39" s="25"/>
      <c r="F39" s="25"/>
      <c r="G39" s="25" t="s">
        <v>37</v>
      </c>
      <c r="H39" s="25" t="s">
        <v>38</v>
      </c>
      <c r="I39" s="25" t="s">
        <v>53</v>
      </c>
      <c r="J39" s="25" t="s">
        <v>54</v>
      </c>
      <c r="K39" s="25" t="s">
        <v>55</v>
      </c>
      <c r="L39" s="25" t="s">
        <v>56</v>
      </c>
      <c r="M39" s="25" t="s">
        <v>57</v>
      </c>
    </row>
    <row r="40" spans="1:23">
      <c r="B40" t="s">
        <v>103</v>
      </c>
    </row>
    <row r="41" spans="1:23">
      <c r="B41" t="s">
        <v>104</v>
      </c>
    </row>
    <row r="44" spans="1:23">
      <c r="B44" t="s">
        <v>105</v>
      </c>
    </row>
    <row r="45" spans="1:23">
      <c r="B45" s="71" t="s">
        <v>108</v>
      </c>
      <c r="C45" s="25"/>
      <c r="D45" s="25"/>
      <c r="E45" s="25"/>
      <c r="F45" s="25"/>
      <c r="G45" s="25"/>
      <c r="H45" s="25"/>
      <c r="I45" s="25"/>
      <c r="J45" s="25"/>
      <c r="K45" s="25"/>
      <c r="L45" s="25"/>
      <c r="M45" s="25"/>
      <c r="N45" s="25"/>
      <c r="O45" s="25"/>
      <c r="P45" s="25"/>
      <c r="Q45" s="25"/>
      <c r="R45" s="25"/>
      <c r="S45" s="25"/>
      <c r="T45" s="25"/>
      <c r="U45" s="25"/>
      <c r="V45" s="25"/>
      <c r="W45" s="25"/>
    </row>
    <row r="46" spans="1:23">
      <c r="B46" s="71" t="s">
        <v>106</v>
      </c>
      <c r="C46" s="25"/>
      <c r="D46" s="25"/>
      <c r="E46" s="25"/>
      <c r="F46" s="25"/>
      <c r="G46" s="25"/>
      <c r="H46" s="25"/>
      <c r="I46" s="25"/>
      <c r="J46" s="25"/>
      <c r="K46" s="25"/>
      <c r="L46" s="25"/>
      <c r="M46" s="25"/>
      <c r="N46" s="25"/>
      <c r="O46" s="25"/>
      <c r="P46" s="25"/>
      <c r="Q46" s="25"/>
      <c r="R46" s="25"/>
      <c r="S46" s="25"/>
      <c r="T46" s="25"/>
      <c r="U46" s="25"/>
      <c r="V46" s="25"/>
      <c r="W46" s="25"/>
    </row>
    <row r="47" spans="1:23">
      <c r="B47" s="40" t="s">
        <v>0</v>
      </c>
      <c r="C47" s="41" t="s">
        <v>25</v>
      </c>
      <c r="D47" s="42" t="s">
        <v>26</v>
      </c>
      <c r="E47" s="42" t="s">
        <v>27</v>
      </c>
      <c r="F47" s="42" t="s">
        <v>28</v>
      </c>
      <c r="G47" s="42" t="s">
        <v>29</v>
      </c>
      <c r="H47" s="42" t="s">
        <v>30</v>
      </c>
      <c r="I47" s="42" t="s">
        <v>31</v>
      </c>
      <c r="J47" s="42" t="s">
        <v>32</v>
      </c>
      <c r="K47" s="42" t="s">
        <v>39</v>
      </c>
      <c r="L47" s="42" t="s">
        <v>40</v>
      </c>
      <c r="M47" s="25"/>
      <c r="N47" s="43" t="s">
        <v>12</v>
      </c>
      <c r="O47" s="44" t="s">
        <v>13</v>
      </c>
      <c r="P47" s="45" t="s">
        <v>11</v>
      </c>
      <c r="Q47" s="45" t="s">
        <v>33</v>
      </c>
      <c r="R47" s="45" t="s">
        <v>34</v>
      </c>
      <c r="S47" s="46" t="s">
        <v>35</v>
      </c>
      <c r="T47" s="46" t="s">
        <v>36</v>
      </c>
      <c r="U47" s="47" t="s">
        <v>37</v>
      </c>
      <c r="V47" s="48" t="s">
        <v>38</v>
      </c>
      <c r="W47" s="49" t="s">
        <v>10</v>
      </c>
    </row>
    <row r="48" spans="1:23">
      <c r="B48" s="50" t="s">
        <v>1</v>
      </c>
      <c r="C48" s="51">
        <v>8</v>
      </c>
      <c r="D48" s="53">
        <v>9</v>
      </c>
      <c r="E48" s="52">
        <v>10</v>
      </c>
      <c r="F48" s="65">
        <v>13</v>
      </c>
      <c r="G48" s="52">
        <v>11</v>
      </c>
      <c r="H48" s="52">
        <v>12</v>
      </c>
      <c r="I48" s="54"/>
      <c r="J48" s="54"/>
      <c r="K48" s="54"/>
      <c r="L48" s="54"/>
      <c r="M48" s="25"/>
      <c r="N48" s="25">
        <v>1</v>
      </c>
      <c r="O48" s="25">
        <v>1</v>
      </c>
      <c r="P48" s="25">
        <v>1</v>
      </c>
      <c r="Q48" s="25">
        <v>1</v>
      </c>
      <c r="R48" s="25">
        <v>1</v>
      </c>
      <c r="S48" s="25">
        <v>1</v>
      </c>
      <c r="T48" s="25"/>
      <c r="U48" s="25"/>
      <c r="V48" s="25"/>
      <c r="W48" s="25"/>
    </row>
    <row r="49" spans="2:23">
      <c r="B49" s="55" t="s">
        <v>2</v>
      </c>
      <c r="C49" s="56">
        <v>8</v>
      </c>
      <c r="D49" s="57">
        <v>8</v>
      </c>
      <c r="E49" s="58">
        <v>9</v>
      </c>
      <c r="F49" s="58">
        <v>9</v>
      </c>
      <c r="G49" s="58">
        <v>9</v>
      </c>
      <c r="H49" s="57">
        <v>8</v>
      </c>
      <c r="I49" s="59"/>
      <c r="J49" s="59"/>
      <c r="K49" s="59"/>
      <c r="L49" s="59"/>
      <c r="M49" s="25"/>
      <c r="N49" s="25">
        <v>3</v>
      </c>
      <c r="O49" s="25">
        <v>3</v>
      </c>
      <c r="P49" s="25"/>
      <c r="Q49" s="25"/>
      <c r="R49" s="25"/>
      <c r="S49" s="25"/>
      <c r="T49" s="25"/>
      <c r="U49" s="25"/>
      <c r="V49" s="25"/>
      <c r="W49" s="25"/>
    </row>
    <row r="50" spans="2:23">
      <c r="B50" s="55" t="s">
        <v>3</v>
      </c>
      <c r="C50" s="63">
        <v>11</v>
      </c>
      <c r="D50" s="57">
        <v>8</v>
      </c>
      <c r="E50" s="62">
        <v>10</v>
      </c>
      <c r="F50" s="66">
        <v>18</v>
      </c>
      <c r="G50" s="62">
        <v>10</v>
      </c>
      <c r="H50" s="57">
        <v>8</v>
      </c>
      <c r="I50" s="57">
        <v>8</v>
      </c>
      <c r="J50" s="58">
        <v>9</v>
      </c>
      <c r="K50" s="61">
        <v>14</v>
      </c>
      <c r="L50" s="57">
        <v>8</v>
      </c>
      <c r="M50" s="25"/>
      <c r="N50" s="25">
        <v>4</v>
      </c>
      <c r="O50" s="25">
        <v>1</v>
      </c>
      <c r="P50" s="25">
        <v>2</v>
      </c>
      <c r="Q50" s="25">
        <v>1</v>
      </c>
      <c r="R50" s="25"/>
      <c r="S50" s="25"/>
      <c r="T50" s="25">
        <v>1</v>
      </c>
      <c r="U50" s="25"/>
      <c r="V50" s="25"/>
      <c r="W50" s="49">
        <v>1</v>
      </c>
    </row>
    <row r="51" spans="2:23">
      <c r="B51" s="55" t="s">
        <v>4</v>
      </c>
      <c r="C51" s="63">
        <v>12</v>
      </c>
      <c r="D51" s="61">
        <v>14</v>
      </c>
      <c r="E51" s="58">
        <v>9</v>
      </c>
      <c r="F51" s="67">
        <v>15</v>
      </c>
      <c r="G51" s="62">
        <v>11</v>
      </c>
      <c r="H51" s="57">
        <v>8</v>
      </c>
      <c r="I51" s="62">
        <v>12</v>
      </c>
      <c r="J51" s="59"/>
      <c r="K51" s="59"/>
      <c r="L51" s="59"/>
      <c r="M51" s="25"/>
      <c r="N51" s="25">
        <v>1</v>
      </c>
      <c r="O51" s="25">
        <v>1</v>
      </c>
      <c r="P51" s="25"/>
      <c r="Q51" s="25">
        <v>1</v>
      </c>
      <c r="R51" s="25">
        <v>2</v>
      </c>
      <c r="S51" s="25"/>
      <c r="T51" s="25">
        <v>1</v>
      </c>
      <c r="U51" s="25"/>
      <c r="V51" s="25"/>
      <c r="W51" s="25"/>
    </row>
    <row r="52" spans="2:23">
      <c r="B52" s="55" t="s">
        <v>5</v>
      </c>
      <c r="C52" s="68">
        <v>18</v>
      </c>
      <c r="D52" s="62">
        <v>10</v>
      </c>
      <c r="E52" s="58">
        <v>9</v>
      </c>
      <c r="F52" s="59"/>
      <c r="G52" s="59"/>
      <c r="H52" s="59"/>
      <c r="I52" s="59"/>
      <c r="J52" s="59"/>
      <c r="K52" s="59"/>
      <c r="L52" s="59"/>
      <c r="M52" s="25"/>
      <c r="N52" s="25"/>
      <c r="O52" s="25">
        <v>1</v>
      </c>
      <c r="P52" s="25">
        <v>1</v>
      </c>
      <c r="Q52" s="25"/>
      <c r="R52" s="25"/>
      <c r="S52" s="25"/>
      <c r="T52" s="25"/>
      <c r="U52" s="25"/>
      <c r="V52" s="25"/>
      <c r="W52" s="49">
        <v>1</v>
      </c>
    </row>
    <row r="53" spans="2:23">
      <c r="B53" s="55" t="s">
        <v>6</v>
      </c>
      <c r="C53" s="64">
        <v>15</v>
      </c>
      <c r="D53" s="62">
        <v>10</v>
      </c>
      <c r="E53" s="57">
        <v>8</v>
      </c>
      <c r="F53" s="57">
        <v>8</v>
      </c>
      <c r="G53" s="57">
        <v>8</v>
      </c>
      <c r="H53" s="59"/>
      <c r="I53" s="59"/>
      <c r="J53" s="59"/>
      <c r="K53" s="59"/>
      <c r="L53" s="59"/>
      <c r="M53" s="25"/>
      <c r="N53" s="25">
        <v>3</v>
      </c>
      <c r="O53" s="25"/>
      <c r="P53" s="25">
        <v>1</v>
      </c>
      <c r="Q53" s="25"/>
      <c r="R53" s="25"/>
      <c r="S53" s="25"/>
      <c r="T53" s="25"/>
      <c r="U53" s="25">
        <v>1</v>
      </c>
      <c r="V53" s="25"/>
      <c r="W53" s="25"/>
    </row>
    <row r="54" spans="2:23">
      <c r="B54" s="55" t="s">
        <v>7</v>
      </c>
      <c r="C54" s="63">
        <v>12</v>
      </c>
      <c r="D54" s="58">
        <v>9</v>
      </c>
      <c r="E54" s="62">
        <v>12</v>
      </c>
      <c r="F54" s="62">
        <v>10</v>
      </c>
      <c r="G54" s="61">
        <v>14</v>
      </c>
      <c r="H54" s="62">
        <v>11</v>
      </c>
      <c r="I54" s="59"/>
      <c r="J54" s="59"/>
      <c r="K54" s="59"/>
      <c r="L54" s="59"/>
      <c r="M54" s="25"/>
      <c r="N54" s="25"/>
      <c r="O54" s="25">
        <v>1</v>
      </c>
      <c r="P54" s="25">
        <v>1</v>
      </c>
      <c r="Q54" s="25">
        <v>1</v>
      </c>
      <c r="R54" s="25">
        <v>2</v>
      </c>
      <c r="S54" s="25"/>
      <c r="T54" s="25"/>
      <c r="U54" s="25"/>
      <c r="V54" s="25"/>
      <c r="W54" s="25"/>
    </row>
    <row r="55" spans="2:23">
      <c r="B55" s="55" t="s">
        <v>8</v>
      </c>
      <c r="C55" s="63">
        <v>11</v>
      </c>
      <c r="D55" s="57">
        <v>8</v>
      </c>
      <c r="E55" s="58">
        <v>9</v>
      </c>
      <c r="F55" s="62">
        <v>10</v>
      </c>
      <c r="G55" s="59"/>
      <c r="H55" s="59"/>
      <c r="I55" s="59"/>
      <c r="J55" s="59"/>
      <c r="K55" s="59"/>
      <c r="L55" s="59"/>
      <c r="M55" s="25"/>
      <c r="N55" s="25">
        <v>1</v>
      </c>
      <c r="O55" s="25">
        <v>1</v>
      </c>
      <c r="P55" s="25">
        <v>1</v>
      </c>
      <c r="Q55" s="25">
        <v>1</v>
      </c>
      <c r="R55" s="25"/>
      <c r="S55" s="25"/>
      <c r="T55" s="25"/>
      <c r="U55" s="25"/>
      <c r="V55" s="25"/>
      <c r="W55" s="25"/>
    </row>
    <row r="56" spans="2:23">
      <c r="B56" s="55" t="s">
        <v>9</v>
      </c>
      <c r="C56" s="56">
        <v>8</v>
      </c>
      <c r="D56" s="57">
        <v>8</v>
      </c>
      <c r="E56" s="59"/>
      <c r="F56" s="59"/>
      <c r="G56" s="59"/>
      <c r="H56" s="59"/>
      <c r="I56" s="59"/>
      <c r="J56" s="59"/>
      <c r="K56" s="59"/>
      <c r="L56" s="59"/>
      <c r="M56" s="25"/>
      <c r="N56" s="25">
        <v>2</v>
      </c>
      <c r="O56" s="25"/>
      <c r="P56" s="25"/>
      <c r="Q56" s="25"/>
      <c r="R56" s="25"/>
      <c r="S56" s="25"/>
      <c r="T56" s="25"/>
      <c r="U56" s="25"/>
      <c r="V56" s="25"/>
      <c r="W56" s="25"/>
    </row>
  </sheetData>
  <mergeCells count="1">
    <mergeCell ref="O17:Q17"/>
  </mergeCells>
  <phoneticPr fontId="1"/>
  <pageMargins left="0.7" right="0.7" top="0.75" bottom="0.75" header="0.3" footer="0.3"/>
  <pageSetup paperSize="9" scale="3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BF05-650D-4EA5-939D-803365C11F7F}">
  <sheetPr>
    <tabColor rgb="FFFF0000"/>
  </sheetPr>
  <dimension ref="A2:L103"/>
  <sheetViews>
    <sheetView tabSelected="1" workbookViewId="0">
      <selection activeCell="F36" sqref="F36"/>
    </sheetView>
  </sheetViews>
  <sheetFormatPr defaultRowHeight="18"/>
  <cols>
    <col min="1" max="1" width="12.3984375" bestFit="1" customWidth="1"/>
    <col min="2" max="2" width="16.296875" bestFit="1" customWidth="1"/>
    <col min="3" max="3" width="14.5" customWidth="1"/>
    <col min="4" max="4" width="18.69921875" customWidth="1"/>
    <col min="5" max="5" width="33.296875" customWidth="1"/>
    <col min="6" max="6" width="25.69921875" customWidth="1"/>
    <col min="7" max="7" width="24.796875" customWidth="1"/>
    <col min="8" max="8" width="41.296875" customWidth="1"/>
    <col min="9" max="9" width="14.69921875" customWidth="1"/>
    <col min="10" max="10" width="21.09765625" customWidth="1"/>
    <col min="11" max="11" width="22.3984375" customWidth="1"/>
    <col min="12" max="12" width="75.5" bestFit="1" customWidth="1"/>
    <col min="13" max="13" width="14.3984375" bestFit="1" customWidth="1"/>
    <col min="14" max="14" width="12.3984375" bestFit="1" customWidth="1"/>
  </cols>
  <sheetData>
    <row r="2" spans="1:12" ht="22.2">
      <c r="B2" s="242" t="s">
        <v>157</v>
      </c>
      <c r="C2" s="242"/>
      <c r="D2" s="242"/>
      <c r="E2" s="242"/>
      <c r="F2" s="134"/>
    </row>
    <row r="3" spans="1:12" ht="22.2">
      <c r="B3" s="239" t="s">
        <v>227</v>
      </c>
      <c r="C3" s="239"/>
      <c r="D3" s="239"/>
      <c r="E3" s="239"/>
      <c r="F3" s="138"/>
      <c r="G3" s="149"/>
      <c r="H3" s="137"/>
    </row>
    <row r="4" spans="1:12" ht="22.2">
      <c r="B4" s="234" t="s">
        <v>192</v>
      </c>
      <c r="C4" s="234"/>
      <c r="D4" s="143" t="s">
        <v>201</v>
      </c>
      <c r="E4" s="25" t="s">
        <v>202</v>
      </c>
      <c r="F4" s="18" t="s">
        <v>200</v>
      </c>
      <c r="G4" s="18" t="s">
        <v>65</v>
      </c>
      <c r="H4" s="162" t="s">
        <v>296</v>
      </c>
      <c r="I4" s="147"/>
      <c r="J4" s="147"/>
      <c r="K4" s="147"/>
      <c r="L4" s="147"/>
    </row>
    <row r="5" spans="1:12">
      <c r="A5" s="166" t="s">
        <v>191</v>
      </c>
      <c r="B5" s="226" t="s">
        <v>302</v>
      </c>
      <c r="C5" s="226"/>
      <c r="D5" s="156">
        <v>0.17319999999999999</v>
      </c>
      <c r="E5" s="106" t="s">
        <v>188</v>
      </c>
      <c r="F5" s="196">
        <v>15</v>
      </c>
      <c r="G5" s="146">
        <v>1.36</v>
      </c>
      <c r="H5" s="163" t="s">
        <v>209</v>
      </c>
      <c r="I5" s="145"/>
      <c r="J5" s="145"/>
      <c r="K5" s="145"/>
      <c r="L5" s="145"/>
    </row>
    <row r="6" spans="1:12">
      <c r="A6" s="166" t="s">
        <v>191</v>
      </c>
      <c r="B6" s="226" t="s">
        <v>304</v>
      </c>
      <c r="C6" s="226"/>
      <c r="D6" s="156">
        <v>0.19919999999999999</v>
      </c>
      <c r="E6" s="106" t="s">
        <v>265</v>
      </c>
      <c r="F6" s="196">
        <v>15</v>
      </c>
      <c r="G6" s="200">
        <v>1.42</v>
      </c>
      <c r="H6" s="163" t="s">
        <v>311</v>
      </c>
      <c r="I6" s="145"/>
      <c r="J6" s="145"/>
      <c r="K6" s="145"/>
      <c r="L6" s="145"/>
    </row>
    <row r="7" spans="1:12">
      <c r="A7" s="166" t="s">
        <v>191</v>
      </c>
      <c r="B7" s="226" t="s">
        <v>303</v>
      </c>
      <c r="C7" s="226"/>
      <c r="D7" s="156">
        <v>0.26169999999999999</v>
      </c>
      <c r="E7" s="106" t="s">
        <v>266</v>
      </c>
      <c r="F7" s="196">
        <v>15</v>
      </c>
      <c r="G7" s="146">
        <v>1.51</v>
      </c>
      <c r="H7" s="163" t="s">
        <v>318</v>
      </c>
      <c r="I7" s="145"/>
      <c r="J7" s="145"/>
      <c r="K7" s="145"/>
      <c r="L7" s="145"/>
    </row>
    <row r="8" spans="1:12">
      <c r="A8" s="166" t="s">
        <v>191</v>
      </c>
      <c r="B8" s="226" t="s">
        <v>199</v>
      </c>
      <c r="C8" s="226"/>
      <c r="D8" s="156">
        <v>0.27239999999999998</v>
      </c>
      <c r="E8" s="106" t="s">
        <v>267</v>
      </c>
      <c r="F8" s="196">
        <v>15</v>
      </c>
      <c r="G8" s="146">
        <v>1.55</v>
      </c>
      <c r="H8" s="163" t="s">
        <v>319</v>
      </c>
      <c r="I8" s="145"/>
      <c r="J8" s="145"/>
      <c r="K8" s="145"/>
      <c r="L8" s="145"/>
    </row>
    <row r="9" spans="1:12">
      <c r="A9" s="166" t="s">
        <v>191</v>
      </c>
      <c r="B9" s="226" t="s">
        <v>333</v>
      </c>
      <c r="C9" s="226"/>
      <c r="D9" s="156">
        <v>0.29680000000000001</v>
      </c>
      <c r="E9" s="127" t="s">
        <v>189</v>
      </c>
      <c r="F9" s="195">
        <v>15</v>
      </c>
      <c r="G9" s="146">
        <v>1.6080000000000001</v>
      </c>
      <c r="H9" s="163" t="s">
        <v>203</v>
      </c>
      <c r="I9" s="240" t="s">
        <v>229</v>
      </c>
      <c r="J9" s="240"/>
      <c r="K9" s="240"/>
      <c r="L9" s="168"/>
    </row>
    <row r="10" spans="1:12">
      <c r="B10" s="228" t="s">
        <v>331</v>
      </c>
      <c r="C10" s="230"/>
      <c r="D10" s="144" t="s">
        <v>204</v>
      </c>
      <c r="E10" s="219" t="s">
        <v>317</v>
      </c>
      <c r="F10" s="219"/>
      <c r="G10" s="219"/>
      <c r="H10" s="202"/>
    </row>
    <row r="11" spans="1:12">
      <c r="A11" s="130" t="s">
        <v>191</v>
      </c>
      <c r="B11" s="235" t="s">
        <v>334</v>
      </c>
      <c r="C11" s="235"/>
      <c r="D11" s="159">
        <v>0.3533</v>
      </c>
      <c r="E11" s="18" t="s">
        <v>270</v>
      </c>
      <c r="F11" s="180">
        <v>15</v>
      </c>
      <c r="G11" s="157">
        <v>1.76</v>
      </c>
      <c r="H11" s="164" t="s">
        <v>205</v>
      </c>
      <c r="I11" s="240" t="s">
        <v>230</v>
      </c>
      <c r="J11" s="240"/>
      <c r="K11" s="240"/>
      <c r="L11" s="168"/>
    </row>
    <row r="12" spans="1:12">
      <c r="A12" s="130" t="s">
        <v>191</v>
      </c>
      <c r="B12" s="236" t="s">
        <v>336</v>
      </c>
      <c r="C12" s="237"/>
      <c r="D12" s="159">
        <v>0.1157</v>
      </c>
      <c r="E12" s="135" t="s">
        <v>234</v>
      </c>
      <c r="F12" s="171">
        <v>17</v>
      </c>
      <c r="G12" s="158">
        <v>1.53</v>
      </c>
      <c r="H12" s="205" t="s">
        <v>228</v>
      </c>
      <c r="I12" s="240" t="s">
        <v>231</v>
      </c>
      <c r="J12" s="240"/>
      <c r="K12" s="240"/>
      <c r="L12" s="168"/>
    </row>
    <row r="13" spans="1:12" ht="22.2">
      <c r="A13" s="165"/>
      <c r="B13" s="243" t="s">
        <v>301</v>
      </c>
      <c r="C13" s="243"/>
      <c r="D13" s="243"/>
      <c r="E13" s="243"/>
      <c r="F13" s="243"/>
      <c r="G13" s="243"/>
      <c r="H13" s="243"/>
      <c r="I13" s="167"/>
      <c r="J13" s="167"/>
    </row>
    <row r="14" spans="1:12" ht="19.8">
      <c r="A14" s="165"/>
      <c r="C14" s="167"/>
      <c r="D14" s="167"/>
      <c r="E14" s="167"/>
      <c r="F14" s="167"/>
      <c r="G14" s="167"/>
      <c r="H14" s="167"/>
      <c r="I14" s="167"/>
      <c r="J14" s="167"/>
    </row>
    <row r="15" spans="1:12" ht="22.2">
      <c r="B15" s="239" t="s">
        <v>348</v>
      </c>
      <c r="C15" s="239"/>
      <c r="D15" s="239"/>
      <c r="E15" s="239"/>
      <c r="F15" s="138"/>
      <c r="G15" s="149"/>
      <c r="H15" s="137"/>
    </row>
    <row r="16" spans="1:12" ht="22.2">
      <c r="B16" s="234" t="s">
        <v>192</v>
      </c>
      <c r="C16" s="234"/>
      <c r="D16" s="143" t="s">
        <v>201</v>
      </c>
      <c r="E16" s="25" t="s">
        <v>202</v>
      </c>
      <c r="F16" s="18" t="s">
        <v>200</v>
      </c>
      <c r="G16" s="18" t="s">
        <v>65</v>
      </c>
      <c r="H16" s="160"/>
      <c r="I16" s="147"/>
      <c r="J16" s="147"/>
      <c r="K16" s="147"/>
      <c r="L16" s="147"/>
    </row>
    <row r="17" spans="1:12">
      <c r="A17" s="166" t="s">
        <v>191</v>
      </c>
      <c r="B17" s="226" t="s">
        <v>207</v>
      </c>
      <c r="C17" s="226"/>
      <c r="D17" s="197">
        <v>9.6199999999999994E-2</v>
      </c>
      <c r="E17" s="18" t="s">
        <v>271</v>
      </c>
      <c r="F17" s="196">
        <v>17</v>
      </c>
      <c r="G17" s="146">
        <v>1.36</v>
      </c>
      <c r="H17" s="161"/>
      <c r="I17" s="161"/>
      <c r="J17" s="145"/>
      <c r="K17" s="145"/>
      <c r="L17" s="145"/>
    </row>
    <row r="18" spans="1:12">
      <c r="A18" s="166" t="s">
        <v>191</v>
      </c>
      <c r="B18" s="226" t="s">
        <v>305</v>
      </c>
      <c r="C18" s="226"/>
      <c r="D18" s="197">
        <v>9.9599999999999994E-2</v>
      </c>
      <c r="E18" s="18" t="s">
        <v>306</v>
      </c>
      <c r="F18" s="196">
        <v>17</v>
      </c>
      <c r="G18" s="146">
        <v>1.42</v>
      </c>
      <c r="H18" s="161"/>
      <c r="I18" s="161"/>
      <c r="J18" s="145"/>
      <c r="K18" s="145"/>
      <c r="L18" s="145"/>
    </row>
    <row r="19" spans="1:12">
      <c r="A19" s="166" t="s">
        <v>191</v>
      </c>
      <c r="B19" s="226" t="s">
        <v>313</v>
      </c>
      <c r="C19" s="226"/>
      <c r="D19" s="156">
        <v>0.1177</v>
      </c>
      <c r="E19" s="106" t="s">
        <v>272</v>
      </c>
      <c r="F19" s="196">
        <v>17</v>
      </c>
      <c r="G19" s="146">
        <v>1.51</v>
      </c>
      <c r="H19" s="161"/>
      <c r="I19" s="145"/>
      <c r="J19" s="145"/>
      <c r="K19" s="145"/>
      <c r="L19" s="145"/>
    </row>
    <row r="20" spans="1:12">
      <c r="A20" s="166" t="s">
        <v>191</v>
      </c>
      <c r="B20" s="226" t="s">
        <v>314</v>
      </c>
      <c r="C20" s="226"/>
      <c r="D20" s="156">
        <v>0.11799999999999999</v>
      </c>
      <c r="E20" s="106" t="s">
        <v>273</v>
      </c>
      <c r="F20" s="196">
        <v>17</v>
      </c>
      <c r="G20" s="148">
        <v>1.55</v>
      </c>
      <c r="H20" s="161"/>
      <c r="I20" s="145"/>
      <c r="J20" s="145"/>
      <c r="K20" s="145"/>
      <c r="L20" s="145"/>
    </row>
    <row r="21" spans="1:12">
      <c r="A21" s="166" t="s">
        <v>191</v>
      </c>
      <c r="B21" s="226" t="s">
        <v>315</v>
      </c>
      <c r="C21" s="226"/>
      <c r="D21" s="156">
        <v>0.1217</v>
      </c>
      <c r="E21" s="127" t="s">
        <v>274</v>
      </c>
      <c r="F21" s="195">
        <v>17</v>
      </c>
      <c r="G21" s="146">
        <v>1.6080000000000001</v>
      </c>
      <c r="H21" s="256" t="s">
        <v>208</v>
      </c>
      <c r="I21" s="256"/>
      <c r="J21" s="150"/>
      <c r="K21" s="168"/>
      <c r="L21" s="168"/>
    </row>
    <row r="22" spans="1:12">
      <c r="B22" s="226" t="s">
        <v>332</v>
      </c>
      <c r="C22" s="226"/>
      <c r="D22" s="144" t="s">
        <v>204</v>
      </c>
      <c r="E22" s="219" t="s">
        <v>316</v>
      </c>
      <c r="F22" s="219"/>
      <c r="G22" s="219"/>
      <c r="H22" s="71"/>
    </row>
    <row r="23" spans="1:12">
      <c r="A23" s="130" t="s">
        <v>191</v>
      </c>
      <c r="B23" s="235" t="s">
        <v>335</v>
      </c>
      <c r="C23" s="235"/>
      <c r="D23" s="159">
        <v>0.19969999999999999</v>
      </c>
      <c r="E23" s="170" t="s">
        <v>275</v>
      </c>
      <c r="F23" s="180">
        <v>16</v>
      </c>
      <c r="G23" s="157">
        <v>1.76</v>
      </c>
      <c r="H23" s="238" t="s">
        <v>222</v>
      </c>
      <c r="I23" s="238"/>
      <c r="J23" s="173"/>
      <c r="K23" s="168"/>
      <c r="L23" s="168"/>
    </row>
    <row r="24" spans="1:12">
      <c r="A24" s="130" t="s">
        <v>191</v>
      </c>
      <c r="B24" s="236" t="s">
        <v>337</v>
      </c>
      <c r="C24" s="237"/>
      <c r="D24" s="159">
        <v>3.2099999999999997E-2</v>
      </c>
      <c r="E24" s="135" t="s">
        <v>233</v>
      </c>
      <c r="F24" s="171">
        <v>20</v>
      </c>
      <c r="G24" s="158">
        <v>1.53</v>
      </c>
      <c r="H24" s="257" t="s">
        <v>232</v>
      </c>
      <c r="I24" s="257"/>
      <c r="J24" s="174"/>
      <c r="K24" s="168"/>
      <c r="L24" s="168"/>
    </row>
    <row r="27" spans="1:12" ht="22.2">
      <c r="A27" s="254" t="s">
        <v>350</v>
      </c>
      <c r="B27" s="254"/>
      <c r="C27" s="245" t="s">
        <v>214</v>
      </c>
      <c r="D27" s="245"/>
    </row>
    <row r="28" spans="1:12">
      <c r="A28" s="255" t="s">
        <v>241</v>
      </c>
      <c r="B28" s="255"/>
      <c r="C28" t="s">
        <v>226</v>
      </c>
      <c r="D28">
        <f>IF(C27="","",VLOOKUP($C27,推奨設定一覧!A2:B15,2,FALSE))</f>
        <v>50000</v>
      </c>
    </row>
    <row r="29" spans="1:12">
      <c r="A29" s="25"/>
      <c r="B29" s="25"/>
      <c r="E29" s="25"/>
    </row>
    <row r="30" spans="1:12" ht="22.2">
      <c r="A30" s="244" t="s">
        <v>351</v>
      </c>
      <c r="B30" s="244"/>
      <c r="C30" s="245">
        <v>53583</v>
      </c>
      <c r="D30" s="245"/>
      <c r="E30" s="249" t="s">
        <v>291</v>
      </c>
      <c r="F30" s="249"/>
      <c r="G30" s="245" t="str">
        <f>IF(C27="","",VLOOKUP($C27,推奨設定一覧!A2:E15,5,FALSE))</f>
        <v>レベルアップ目標額　90000</v>
      </c>
      <c r="H30" s="245"/>
    </row>
    <row r="32" spans="1:12">
      <c r="E32" s="25"/>
      <c r="G32" s="182"/>
    </row>
    <row r="33" spans="2:11" ht="19.8">
      <c r="B33" s="246" t="s">
        <v>148</v>
      </c>
      <c r="C33" s="247"/>
      <c r="D33" s="248"/>
      <c r="E33" s="179" t="s">
        <v>242</v>
      </c>
      <c r="F33" s="93"/>
      <c r="G33" s="93"/>
      <c r="H33" s="93"/>
      <c r="I33" s="93"/>
      <c r="J33" s="93"/>
      <c r="K33" s="93"/>
    </row>
    <row r="34" spans="2:11" ht="22.2">
      <c r="B34" s="18">
        <v>1</v>
      </c>
      <c r="C34" s="221" t="s">
        <v>312</v>
      </c>
      <c r="D34" s="222"/>
      <c r="E34" s="199">
        <f>0.01+ROUNDDOWN((C30-D28)/D28*0.01,4)</f>
        <v>1.0699999999999999E-2</v>
      </c>
      <c r="F34" s="252" t="s">
        <v>288</v>
      </c>
      <c r="G34" s="253"/>
      <c r="H34" s="253"/>
      <c r="I34" s="128"/>
      <c r="J34" s="128"/>
      <c r="K34" s="128"/>
    </row>
    <row r="35" spans="2:11" ht="22.2">
      <c r="B35" s="18">
        <v>2</v>
      </c>
      <c r="C35" s="221" t="s">
        <v>110</v>
      </c>
      <c r="D35" s="222"/>
      <c r="E35" s="183">
        <f>IF(C27="","",VLOOKUP($C27,推奨設定一覧!A2:D15,4,FALSE))</f>
        <v>1.36</v>
      </c>
      <c r="F35" s="93"/>
      <c r="G35" s="93"/>
    </row>
    <row r="36" spans="2:11">
      <c r="B36" s="18">
        <v>3</v>
      </c>
      <c r="C36" s="221" t="s">
        <v>111</v>
      </c>
      <c r="D36" s="222"/>
      <c r="E36" s="171" t="s">
        <v>356</v>
      </c>
      <c r="F36" s="218" t="s">
        <v>358</v>
      </c>
      <c r="G36" s="14"/>
      <c r="H36" s="14"/>
      <c r="I36" s="14"/>
      <c r="J36" s="14"/>
    </row>
    <row r="37" spans="2:11" ht="19.8">
      <c r="B37" s="18">
        <v>4</v>
      </c>
      <c r="C37" s="221" t="s">
        <v>112</v>
      </c>
      <c r="D37" s="222"/>
      <c r="E37" s="184">
        <v>26</v>
      </c>
    </row>
    <row r="38" spans="2:11" ht="19.8">
      <c r="B38" s="18">
        <v>5</v>
      </c>
      <c r="C38" s="221" t="s">
        <v>113</v>
      </c>
      <c r="D38" s="222"/>
      <c r="E38" s="184">
        <v>13</v>
      </c>
    </row>
    <row r="39" spans="2:11">
      <c r="B39" s="18">
        <v>6</v>
      </c>
      <c r="C39" s="221" t="s">
        <v>114</v>
      </c>
      <c r="D39" s="222"/>
      <c r="E39" s="171" t="s">
        <v>138</v>
      </c>
      <c r="F39" t="s">
        <v>250</v>
      </c>
    </row>
    <row r="40" spans="2:11">
      <c r="B40" s="18">
        <v>7</v>
      </c>
      <c r="C40" s="221" t="s">
        <v>115</v>
      </c>
      <c r="D40" s="222"/>
      <c r="E40" s="171">
        <v>0</v>
      </c>
      <c r="F40" t="s">
        <v>251</v>
      </c>
    </row>
    <row r="41" spans="2:11">
      <c r="B41" s="18">
        <v>8</v>
      </c>
      <c r="C41" s="221" t="s">
        <v>116</v>
      </c>
      <c r="D41" s="222"/>
      <c r="E41" s="171" t="s">
        <v>144</v>
      </c>
    </row>
    <row r="42" spans="2:11">
      <c r="B42" s="18">
        <v>9</v>
      </c>
      <c r="C42" s="221" t="s">
        <v>117</v>
      </c>
      <c r="D42" s="222"/>
      <c r="E42" s="171" t="s">
        <v>144</v>
      </c>
      <c r="F42" t="s">
        <v>253</v>
      </c>
    </row>
    <row r="43" spans="2:11" ht="22.2">
      <c r="B43" s="18">
        <v>10</v>
      </c>
      <c r="C43" s="221" t="s">
        <v>118</v>
      </c>
      <c r="D43" s="222"/>
      <c r="E43" s="183">
        <f>IF(C27="","",VLOOKUP($C27,推奨設定一覧!A2:D15,3,FALSE))</f>
        <v>15</v>
      </c>
      <c r="F43" s="105"/>
      <c r="G43" s="105"/>
      <c r="H43" s="105"/>
      <c r="I43" s="105"/>
    </row>
    <row r="44" spans="2:11">
      <c r="B44" s="18">
        <v>11</v>
      </c>
      <c r="C44" s="221" t="s">
        <v>278</v>
      </c>
      <c r="D44" s="222"/>
      <c r="E44" s="171" t="s">
        <v>285</v>
      </c>
      <c r="F44" s="250" t="s">
        <v>339</v>
      </c>
      <c r="G44" s="251"/>
      <c r="H44" s="251"/>
    </row>
    <row r="45" spans="2:11" ht="22.2">
      <c r="B45" s="18">
        <v>12</v>
      </c>
      <c r="C45" s="221" t="s">
        <v>277</v>
      </c>
      <c r="D45" s="222"/>
      <c r="E45" s="203">
        <f>D28*(E34+0.0001)*100</f>
        <v>53999.999999999985</v>
      </c>
      <c r="G45" s="209" t="s">
        <v>289</v>
      </c>
      <c r="H45" s="206">
        <f>D28*(E34+0.0002)*100</f>
        <v>54500</v>
      </c>
      <c r="I45" s="129"/>
      <c r="J45" s="129"/>
      <c r="K45" s="129"/>
    </row>
    <row r="46" spans="2:11">
      <c r="B46" s="18">
        <v>13</v>
      </c>
      <c r="C46" s="221" t="s">
        <v>121</v>
      </c>
      <c r="D46" s="222"/>
      <c r="E46" s="171" t="s">
        <v>144</v>
      </c>
      <c r="G46" s="207" t="s">
        <v>290</v>
      </c>
      <c r="H46" s="208">
        <f>D28*0.01</f>
        <v>500</v>
      </c>
    </row>
    <row r="47" spans="2:11">
      <c r="B47" s="18">
        <v>14</v>
      </c>
      <c r="C47" s="221" t="s">
        <v>122</v>
      </c>
      <c r="D47" s="222"/>
      <c r="E47" s="171" t="s">
        <v>144</v>
      </c>
      <c r="G47" s="241" t="s">
        <v>338</v>
      </c>
      <c r="H47" s="241"/>
      <c r="I47" s="241"/>
    </row>
    <row r="48" spans="2:11">
      <c r="B48" s="18">
        <v>15</v>
      </c>
      <c r="C48" s="221" t="s">
        <v>123</v>
      </c>
      <c r="D48" s="222"/>
      <c r="E48" s="171" t="s">
        <v>144</v>
      </c>
    </row>
    <row r="49" spans="2:7">
      <c r="B49" s="18">
        <v>16</v>
      </c>
      <c r="C49" s="221" t="s">
        <v>280</v>
      </c>
      <c r="D49" s="222"/>
      <c r="E49" s="171" t="s">
        <v>144</v>
      </c>
    </row>
    <row r="50" spans="2:7">
      <c r="B50" s="18">
        <v>17</v>
      </c>
      <c r="C50" s="221" t="s">
        <v>125</v>
      </c>
      <c r="D50" s="222"/>
      <c r="E50" s="171" t="s">
        <v>144</v>
      </c>
    </row>
    <row r="51" spans="2:7">
      <c r="B51" s="18">
        <v>18</v>
      </c>
      <c r="C51" s="221" t="s">
        <v>126</v>
      </c>
      <c r="D51" s="222"/>
      <c r="E51" s="171" t="s">
        <v>143</v>
      </c>
    </row>
    <row r="52" spans="2:7">
      <c r="B52" s="18">
        <v>19</v>
      </c>
      <c r="C52" s="221" t="s">
        <v>127</v>
      </c>
      <c r="D52" s="222"/>
      <c r="E52" s="171" t="s">
        <v>254</v>
      </c>
    </row>
    <row r="53" spans="2:7">
      <c r="B53" s="18">
        <v>20</v>
      </c>
      <c r="C53" s="221" t="s">
        <v>128</v>
      </c>
      <c r="D53" s="222"/>
      <c r="E53" s="185" t="s">
        <v>256</v>
      </c>
      <c r="F53" t="s">
        <v>255</v>
      </c>
    </row>
    <row r="54" spans="2:7">
      <c r="B54" s="18">
        <v>21</v>
      </c>
      <c r="C54" s="221" t="s">
        <v>129</v>
      </c>
      <c r="D54" s="222"/>
      <c r="E54" s="186">
        <v>5</v>
      </c>
    </row>
    <row r="55" spans="2:7">
      <c r="B55" s="18">
        <v>22</v>
      </c>
      <c r="C55" s="221" t="s">
        <v>130</v>
      </c>
      <c r="D55" s="222"/>
      <c r="E55" s="188" t="s">
        <v>142</v>
      </c>
    </row>
    <row r="56" spans="2:7">
      <c r="B56" s="18">
        <v>23</v>
      </c>
      <c r="C56" s="221" t="s">
        <v>131</v>
      </c>
      <c r="D56" s="222"/>
      <c r="E56" s="226" t="s">
        <v>257</v>
      </c>
      <c r="F56" s="226"/>
      <c r="G56" s="226"/>
    </row>
    <row r="57" spans="2:7">
      <c r="B57" s="18">
        <v>24</v>
      </c>
      <c r="C57" s="221" t="s">
        <v>132</v>
      </c>
      <c r="D57" s="222"/>
      <c r="E57" s="189" t="s">
        <v>144</v>
      </c>
    </row>
    <row r="58" spans="2:7">
      <c r="B58" s="18">
        <v>25</v>
      </c>
      <c r="C58" s="221" t="s">
        <v>133</v>
      </c>
      <c r="D58" s="222"/>
      <c r="E58" s="187" t="s">
        <v>354</v>
      </c>
    </row>
    <row r="59" spans="2:7">
      <c r="B59" s="18">
        <v>26</v>
      </c>
      <c r="C59" s="221" t="s">
        <v>134</v>
      </c>
      <c r="D59" s="222"/>
      <c r="E59" s="171" t="s">
        <v>144</v>
      </c>
    </row>
    <row r="60" spans="2:7">
      <c r="B60" s="18">
        <v>27</v>
      </c>
      <c r="C60" s="221" t="s">
        <v>135</v>
      </c>
      <c r="D60" s="222"/>
      <c r="E60" s="187" t="s">
        <v>355</v>
      </c>
    </row>
    <row r="61" spans="2:7">
      <c r="B61" s="18">
        <v>28</v>
      </c>
      <c r="C61" s="221" t="s">
        <v>136</v>
      </c>
      <c r="D61" s="227"/>
      <c r="E61" s="171" t="s">
        <v>138</v>
      </c>
    </row>
    <row r="62" spans="2:7">
      <c r="B62" s="13"/>
      <c r="C62" s="13" t="s">
        <v>137</v>
      </c>
      <c r="D62" s="226" t="s">
        <v>146</v>
      </c>
      <c r="E62" s="226"/>
    </row>
    <row r="64" spans="2:7">
      <c r="B64" s="228" t="s">
        <v>258</v>
      </c>
      <c r="C64" s="229"/>
      <c r="D64" s="229"/>
      <c r="E64" s="229"/>
      <c r="F64" s="230"/>
    </row>
    <row r="65" spans="2:11" ht="18" hidden="1" customHeight="1">
      <c r="B65" s="13"/>
      <c r="C65" s="13"/>
      <c r="D65" s="13"/>
      <c r="E65" s="13"/>
      <c r="F65" s="13"/>
    </row>
    <row r="66" spans="2:11" ht="18" hidden="1" customHeight="1">
      <c r="B66" s="139" t="s">
        <v>148</v>
      </c>
      <c r="C66" s="139"/>
      <c r="D66" s="139"/>
      <c r="E66" s="13"/>
      <c r="F66" s="13"/>
    </row>
    <row r="67" spans="2:11" ht="18" hidden="1" customHeight="1">
      <c r="B67" s="18">
        <v>1</v>
      </c>
      <c r="C67" s="13" t="s">
        <v>109</v>
      </c>
      <c r="D67" s="13"/>
      <c r="E67" s="151" t="s">
        <v>153</v>
      </c>
      <c r="F67" s="136"/>
      <c r="G67" s="105"/>
      <c r="H67" s="93"/>
      <c r="I67" s="93"/>
      <c r="J67" s="93"/>
      <c r="K67" s="93"/>
    </row>
    <row r="68" spans="2:11" ht="18" hidden="1" customHeight="1">
      <c r="B68" s="18">
        <v>2</v>
      </c>
      <c r="C68" s="102" t="s">
        <v>110</v>
      </c>
      <c r="D68" s="102"/>
      <c r="E68" s="152" t="s">
        <v>154</v>
      </c>
      <c r="F68" s="136"/>
      <c r="G68" s="105"/>
    </row>
    <row r="69" spans="2:11" ht="18" hidden="1" customHeight="1">
      <c r="B69" s="18">
        <v>3</v>
      </c>
      <c r="C69" s="13" t="s">
        <v>111</v>
      </c>
      <c r="D69" s="13"/>
      <c r="E69" s="13" t="s">
        <v>149</v>
      </c>
      <c r="F69" s="13"/>
    </row>
    <row r="70" spans="2:11" ht="18" hidden="1" customHeight="1">
      <c r="B70" s="18">
        <v>4</v>
      </c>
      <c r="C70" s="13" t="s">
        <v>112</v>
      </c>
      <c r="D70" s="13"/>
      <c r="E70" s="153">
        <v>26</v>
      </c>
      <c r="F70" s="13"/>
    </row>
    <row r="71" spans="2:11" ht="18" hidden="1" customHeight="1">
      <c r="B71" s="18">
        <v>5</v>
      </c>
      <c r="C71" s="13" t="s">
        <v>113</v>
      </c>
      <c r="D71" s="13"/>
      <c r="E71" s="153">
        <v>13</v>
      </c>
      <c r="F71" s="13"/>
    </row>
    <row r="72" spans="2:11" ht="18" hidden="1" customHeight="1">
      <c r="B72" s="18">
        <v>6</v>
      </c>
      <c r="C72" s="13" t="s">
        <v>114</v>
      </c>
      <c r="D72" s="13"/>
      <c r="E72" s="13" t="s">
        <v>138</v>
      </c>
      <c r="F72" s="13"/>
    </row>
    <row r="73" spans="2:11" ht="18" hidden="1" customHeight="1">
      <c r="B73" s="18">
        <v>7</v>
      </c>
      <c r="C73" s="13" t="s">
        <v>115</v>
      </c>
      <c r="D73" s="13"/>
      <c r="E73" s="13" t="s">
        <v>145</v>
      </c>
      <c r="F73" s="13"/>
    </row>
    <row r="74" spans="2:11" ht="18" hidden="1" customHeight="1">
      <c r="B74" s="18">
        <v>8</v>
      </c>
      <c r="C74" s="13" t="s">
        <v>116</v>
      </c>
      <c r="D74" s="13"/>
      <c r="E74" s="13" t="s">
        <v>144</v>
      </c>
      <c r="F74" s="13"/>
    </row>
    <row r="75" spans="2:11" ht="18" hidden="1" customHeight="1">
      <c r="B75" s="18">
        <v>9</v>
      </c>
      <c r="C75" s="13" t="s">
        <v>117</v>
      </c>
      <c r="D75" s="13"/>
      <c r="E75" s="13" t="s">
        <v>151</v>
      </c>
      <c r="F75" s="13"/>
    </row>
    <row r="76" spans="2:11" ht="18" hidden="1" customHeight="1">
      <c r="B76" s="18">
        <v>10</v>
      </c>
      <c r="C76" s="141" t="s">
        <v>118</v>
      </c>
      <c r="D76" s="141"/>
      <c r="E76" s="152" t="s">
        <v>155</v>
      </c>
      <c r="F76" s="136"/>
      <c r="G76" s="105"/>
      <c r="H76" s="93"/>
    </row>
    <row r="77" spans="2:11" ht="18" hidden="1" customHeight="1">
      <c r="B77" s="18">
        <v>11</v>
      </c>
      <c r="C77" s="13" t="s">
        <v>119</v>
      </c>
      <c r="D77" s="13"/>
      <c r="E77" s="13" t="s">
        <v>144</v>
      </c>
      <c r="F77" s="13"/>
    </row>
    <row r="78" spans="2:11" ht="18" hidden="1" customHeight="1">
      <c r="B78" s="18">
        <v>12</v>
      </c>
      <c r="C78" s="140" t="s">
        <v>120</v>
      </c>
      <c r="D78" s="140"/>
      <c r="E78" s="152" t="s">
        <v>154</v>
      </c>
      <c r="F78" s="136"/>
      <c r="G78" s="105"/>
      <c r="H78" s="93"/>
      <c r="I78" s="93"/>
      <c r="J78" s="93"/>
      <c r="K78" s="93"/>
    </row>
    <row r="79" spans="2:11" ht="18" hidden="1" customHeight="1">
      <c r="B79" s="18">
        <v>13</v>
      </c>
      <c r="C79" s="13" t="s">
        <v>121</v>
      </c>
      <c r="D79" s="13"/>
      <c r="E79" s="13" t="s">
        <v>144</v>
      </c>
      <c r="F79" s="13"/>
    </row>
    <row r="80" spans="2:11" ht="18" hidden="1" customHeight="1">
      <c r="B80" s="18">
        <v>14</v>
      </c>
      <c r="C80" s="13" t="s">
        <v>122</v>
      </c>
      <c r="D80" s="13"/>
      <c r="E80" s="13" t="s">
        <v>144</v>
      </c>
      <c r="F80" s="13"/>
    </row>
    <row r="81" spans="2:6" ht="18" hidden="1" customHeight="1">
      <c r="B81" s="18">
        <v>15</v>
      </c>
      <c r="C81" s="13" t="s">
        <v>123</v>
      </c>
      <c r="D81" s="13"/>
      <c r="E81" s="13" t="s">
        <v>144</v>
      </c>
      <c r="F81" s="13"/>
    </row>
    <row r="82" spans="2:6" ht="18" hidden="1" customHeight="1">
      <c r="B82" s="18">
        <v>16</v>
      </c>
      <c r="C82" s="13" t="s">
        <v>124</v>
      </c>
      <c r="D82" s="13"/>
      <c r="E82" s="13" t="s">
        <v>144</v>
      </c>
      <c r="F82" s="13"/>
    </row>
    <row r="83" spans="2:6" ht="18" hidden="1" customHeight="1">
      <c r="B83" s="18">
        <v>17</v>
      </c>
      <c r="C83" s="13" t="s">
        <v>125</v>
      </c>
      <c r="D83" s="13"/>
      <c r="E83" s="13" t="s">
        <v>144</v>
      </c>
      <c r="F83" s="13"/>
    </row>
    <row r="84" spans="2:6" ht="18" hidden="1" customHeight="1">
      <c r="B84" s="18">
        <v>18</v>
      </c>
      <c r="C84" s="13" t="s">
        <v>126</v>
      </c>
      <c r="D84" s="13"/>
      <c r="E84" s="13" t="s">
        <v>143</v>
      </c>
      <c r="F84" s="13"/>
    </row>
    <row r="85" spans="2:6" ht="18" hidden="1" customHeight="1">
      <c r="B85" s="18">
        <v>19</v>
      </c>
      <c r="C85" s="13" t="s">
        <v>127</v>
      </c>
      <c r="D85" s="13"/>
      <c r="E85" s="13" t="s">
        <v>150</v>
      </c>
      <c r="F85" s="13"/>
    </row>
    <row r="86" spans="2:6" ht="18" hidden="1" customHeight="1">
      <c r="B86" s="18">
        <v>20</v>
      </c>
      <c r="C86" s="13" t="s">
        <v>128</v>
      </c>
      <c r="D86" s="13"/>
      <c r="E86" s="154" t="s">
        <v>141</v>
      </c>
      <c r="F86" s="13"/>
    </row>
    <row r="87" spans="2:6" ht="18" hidden="1" customHeight="1">
      <c r="B87" s="18">
        <v>21</v>
      </c>
      <c r="C87" s="13" t="s">
        <v>129</v>
      </c>
      <c r="D87" s="13"/>
      <c r="E87" s="155">
        <v>5</v>
      </c>
      <c r="F87" s="13"/>
    </row>
    <row r="88" spans="2:6" ht="18" hidden="1" customHeight="1">
      <c r="B88" s="18">
        <v>22</v>
      </c>
      <c r="C88" s="13" t="s">
        <v>130</v>
      </c>
      <c r="D88" s="13"/>
      <c r="E88" s="13" t="s">
        <v>150</v>
      </c>
      <c r="F88" s="13"/>
    </row>
    <row r="89" spans="2:6" ht="18" hidden="1" customHeight="1">
      <c r="B89" s="18">
        <v>23</v>
      </c>
      <c r="C89" s="13" t="s">
        <v>131</v>
      </c>
      <c r="D89" s="13"/>
      <c r="E89" s="13" t="s">
        <v>152</v>
      </c>
      <c r="F89" s="13"/>
    </row>
    <row r="90" spans="2:6" ht="18" hidden="1" customHeight="1">
      <c r="B90" s="18">
        <v>24</v>
      </c>
      <c r="C90" s="13" t="s">
        <v>132</v>
      </c>
      <c r="D90" s="13"/>
      <c r="E90" s="13" t="s">
        <v>138</v>
      </c>
      <c r="F90" s="13"/>
    </row>
    <row r="91" spans="2:6" ht="18" hidden="1" customHeight="1">
      <c r="B91" s="18">
        <v>25</v>
      </c>
      <c r="C91" s="13" t="s">
        <v>133</v>
      </c>
      <c r="D91" s="13"/>
      <c r="E91" s="13" t="s">
        <v>139</v>
      </c>
      <c r="F91" s="13"/>
    </row>
    <row r="92" spans="2:6" ht="18" hidden="1" customHeight="1">
      <c r="B92" s="18">
        <v>26</v>
      </c>
      <c r="C92" s="13" t="s">
        <v>134</v>
      </c>
      <c r="D92" s="13"/>
      <c r="E92" s="13" t="s">
        <v>138</v>
      </c>
      <c r="F92" s="13"/>
    </row>
    <row r="93" spans="2:6" ht="18" hidden="1" customHeight="1">
      <c r="B93" s="18">
        <v>27</v>
      </c>
      <c r="C93" s="13" t="s">
        <v>135</v>
      </c>
      <c r="D93" s="13"/>
      <c r="E93" s="13" t="s">
        <v>140</v>
      </c>
      <c r="F93" s="13"/>
    </row>
    <row r="94" spans="2:6" ht="18" hidden="1" customHeight="1">
      <c r="B94" s="18">
        <v>28</v>
      </c>
      <c r="C94" s="13" t="s">
        <v>136</v>
      </c>
      <c r="D94" s="13"/>
      <c r="E94" s="13" t="s">
        <v>138</v>
      </c>
      <c r="F94" s="13"/>
    </row>
    <row r="95" spans="2:6" ht="18" hidden="1" customHeight="1">
      <c r="B95" s="13"/>
      <c r="C95" s="13" t="s">
        <v>137</v>
      </c>
      <c r="D95" s="13" t="s">
        <v>146</v>
      </c>
      <c r="E95" s="13"/>
      <c r="F95" s="13"/>
    </row>
    <row r="96" spans="2:6">
      <c r="B96" s="231" t="s">
        <v>357</v>
      </c>
      <c r="C96" s="232"/>
      <c r="D96" s="232"/>
      <c r="E96" s="232"/>
      <c r="F96" s="233"/>
    </row>
    <row r="97" spans="2:8">
      <c r="B97" s="223" t="s">
        <v>158</v>
      </c>
      <c r="C97" s="224"/>
      <c r="D97" s="224"/>
      <c r="E97" s="224"/>
      <c r="F97" s="225"/>
    </row>
    <row r="98" spans="2:8">
      <c r="C98" s="220"/>
      <c r="D98" s="220"/>
      <c r="E98" s="220"/>
      <c r="F98" s="220"/>
      <c r="G98" s="220"/>
      <c r="H98" s="220"/>
    </row>
    <row r="99" spans="2:8">
      <c r="C99" s="220"/>
      <c r="D99" s="220"/>
      <c r="E99" s="220"/>
      <c r="F99" s="220"/>
      <c r="G99" s="220"/>
      <c r="H99" s="220"/>
    </row>
    <row r="100" spans="2:8">
      <c r="C100" s="220"/>
      <c r="D100" s="220"/>
      <c r="E100" s="220"/>
      <c r="F100" s="220"/>
    </row>
    <row r="101" spans="2:8">
      <c r="C101" s="220"/>
      <c r="D101" s="220"/>
      <c r="E101" s="220"/>
      <c r="F101" s="220"/>
    </row>
    <row r="102" spans="2:8">
      <c r="C102" s="220"/>
      <c r="D102" s="220"/>
      <c r="E102" s="220"/>
      <c r="F102" s="220"/>
      <c r="G102" s="220"/>
      <c r="H102" s="220"/>
    </row>
    <row r="103" spans="2:8">
      <c r="C103" s="220"/>
      <c r="D103" s="220"/>
      <c r="E103" s="220"/>
      <c r="F103" s="220"/>
    </row>
  </sheetData>
  <mergeCells count="80">
    <mergeCell ref="E30:F30"/>
    <mergeCell ref="G30:H30"/>
    <mergeCell ref="B10:C10"/>
    <mergeCell ref="E10:G10"/>
    <mergeCell ref="F44:H44"/>
    <mergeCell ref="F34:H34"/>
    <mergeCell ref="B23:C23"/>
    <mergeCell ref="A27:B27"/>
    <mergeCell ref="C27:D27"/>
    <mergeCell ref="A28:B28"/>
    <mergeCell ref="E22:G22"/>
    <mergeCell ref="H21:I21"/>
    <mergeCell ref="B15:E15"/>
    <mergeCell ref="B24:C24"/>
    <mergeCell ref="H24:I24"/>
    <mergeCell ref="B21:C21"/>
    <mergeCell ref="B2:E2"/>
    <mergeCell ref="C57:D57"/>
    <mergeCell ref="C58:D58"/>
    <mergeCell ref="C59:D59"/>
    <mergeCell ref="C60:D60"/>
    <mergeCell ref="C37:D37"/>
    <mergeCell ref="C38:D38"/>
    <mergeCell ref="C39:D39"/>
    <mergeCell ref="C40:D40"/>
    <mergeCell ref="C41:D41"/>
    <mergeCell ref="B13:H13"/>
    <mergeCell ref="A30:B30"/>
    <mergeCell ref="C30:D30"/>
    <mergeCell ref="C45:D45"/>
    <mergeCell ref="B33:D33"/>
    <mergeCell ref="C36:D36"/>
    <mergeCell ref="G47:I47"/>
    <mergeCell ref="C34:D34"/>
    <mergeCell ref="C35:D35"/>
    <mergeCell ref="C42:D42"/>
    <mergeCell ref="C43:D43"/>
    <mergeCell ref="C44:D44"/>
    <mergeCell ref="C46:D46"/>
    <mergeCell ref="C47:D47"/>
    <mergeCell ref="B3:E3"/>
    <mergeCell ref="B19:C19"/>
    <mergeCell ref="B20:C20"/>
    <mergeCell ref="I9:K9"/>
    <mergeCell ref="I11:K11"/>
    <mergeCell ref="I12:K12"/>
    <mergeCell ref="B17:C17"/>
    <mergeCell ref="B18:C18"/>
    <mergeCell ref="B4:C4"/>
    <mergeCell ref="B5:C5"/>
    <mergeCell ref="B6:C6"/>
    <mergeCell ref="B7:C7"/>
    <mergeCell ref="B8:C8"/>
    <mergeCell ref="B9:C9"/>
    <mergeCell ref="B22:C22"/>
    <mergeCell ref="B16:C16"/>
    <mergeCell ref="B11:C11"/>
    <mergeCell ref="B12:C12"/>
    <mergeCell ref="H23:I23"/>
    <mergeCell ref="C48:D48"/>
    <mergeCell ref="C49:D49"/>
    <mergeCell ref="C50:D50"/>
    <mergeCell ref="C51:D51"/>
    <mergeCell ref="C52:D52"/>
    <mergeCell ref="C53:D53"/>
    <mergeCell ref="C54:D54"/>
    <mergeCell ref="C55:D55"/>
    <mergeCell ref="C56:D56"/>
    <mergeCell ref="C101:F101"/>
    <mergeCell ref="B97:F97"/>
    <mergeCell ref="E56:G56"/>
    <mergeCell ref="C61:D61"/>
    <mergeCell ref="D62:E62"/>
    <mergeCell ref="B64:F64"/>
    <mergeCell ref="B96:F96"/>
    <mergeCell ref="C102:H102"/>
    <mergeCell ref="C98:H98"/>
    <mergeCell ref="C103:F103"/>
    <mergeCell ref="C100:F100"/>
    <mergeCell ref="C99:H99"/>
  </mergeCells>
  <phoneticPr fontId="1"/>
  <hyperlinks>
    <hyperlink ref="A11" r:id="rId1" xr:uid="{E66F1620-7110-483B-97B1-0761F0764F53}"/>
    <hyperlink ref="A5:A6" r:id="rId2" display="バックテスト" xr:uid="{BE9EB08B-9DFF-4F09-9FC4-9289C0AF2D37}"/>
    <hyperlink ref="A7" r:id="rId3" xr:uid="{1BB80D9D-B662-435C-AAA8-FE5E6E3E9D30}"/>
    <hyperlink ref="A8" r:id="rId4" xr:uid="{9511CAF3-D2DC-43A4-BC65-14685E6F2807}"/>
    <hyperlink ref="A9" r:id="rId5" xr:uid="{1D782A5A-B2FD-4FB9-A250-10CD8F80754B}"/>
    <hyperlink ref="A12" r:id="rId6" xr:uid="{7EFD223E-26A5-4659-8D5E-2011CA39A0E4}"/>
    <hyperlink ref="F34" location="運用金額・複利目標金額計算表!C13" display="※運用金額・複利目標金額計算表を参照" xr:uid="{D3E48D71-AE8A-4976-A552-A47C1FAFB80D}"/>
    <hyperlink ref="B2" r:id="rId7" xr:uid="{F0515488-3803-4952-8AE2-8487920A1EFF}"/>
    <hyperlink ref="A6" r:id="rId8" xr:uid="{5BB69AA3-7741-45F1-84CF-F17897E2011A}"/>
    <hyperlink ref="A23" r:id="rId9" xr:uid="{93FD44EC-5FB6-4768-A4C5-4B0122CAAF63}"/>
    <hyperlink ref="A17:A18" r:id="rId10" display="バックテスト" xr:uid="{49F75C78-AF3B-4DCC-A8D9-0C18301A3509}"/>
    <hyperlink ref="A19" r:id="rId11" xr:uid="{95E87F0E-7191-4A84-8A28-1EDD7A8F183D}"/>
    <hyperlink ref="A20" r:id="rId12" xr:uid="{A3943B9D-A6C0-4425-8352-B050A9E4905B}"/>
    <hyperlink ref="A21" r:id="rId13" xr:uid="{9463DFA2-A342-4F48-881A-2B6A1B40FBAF}"/>
    <hyperlink ref="A24" r:id="rId14" xr:uid="{DB381563-80D4-4DB6-8302-851F41786E32}"/>
    <hyperlink ref="A18" r:id="rId15" xr:uid="{ABD000E4-D725-4319-AE6D-6C4BF87BE937}"/>
  </hyperlinks>
  <pageMargins left="0.7" right="0.7" top="0.75" bottom="0.75" header="0.3" footer="0.3"/>
  <pageSetup paperSize="9" orientation="portrait" horizontalDpi="0" verticalDpi="0" r:id="rId16"/>
  <extLst>
    <ext xmlns:x14="http://schemas.microsoft.com/office/spreadsheetml/2009/9/main" uri="{CCE6A557-97BC-4b89-ADB6-D9C93CAAB3DF}">
      <x14:dataValidations xmlns:xm="http://schemas.microsoft.com/office/excel/2006/main" count="1">
        <x14:dataValidation type="list" allowBlank="1" showInputMessage="1" showErrorMessage="1" xr:uid="{9D2A5AED-E189-49E4-9ACE-D6B6ACF57FAD}">
          <x14:formula1>
            <xm:f>推奨設定一覧!$A$2:$A$15</xm:f>
          </x14:formula1>
          <xm:sqref>C27:D27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A8F0-FBE8-4E0D-B017-2E413B8FADBB}">
  <dimension ref="A2:P431"/>
  <sheetViews>
    <sheetView workbookViewId="0">
      <selection activeCell="C4" sqref="C4:D4"/>
    </sheetView>
  </sheetViews>
  <sheetFormatPr defaultRowHeight="18"/>
  <cols>
    <col min="1" max="1" width="16.09765625" customWidth="1"/>
    <col min="2" max="2" width="16.296875" bestFit="1" customWidth="1"/>
    <col min="3" max="3" width="12.09765625" customWidth="1"/>
    <col min="4" max="4" width="13.3984375" customWidth="1"/>
    <col min="5" max="5" width="24.8984375" customWidth="1"/>
    <col min="6" max="6" width="25.09765625" customWidth="1"/>
    <col min="7" max="7" width="11.69921875" customWidth="1"/>
    <col min="8" max="8" width="12.796875" customWidth="1"/>
    <col min="9" max="9" width="11.59765625" customWidth="1"/>
    <col min="10" max="10" width="13.19921875" customWidth="1"/>
    <col min="11" max="12" width="10.3984375" bestFit="1" customWidth="1"/>
    <col min="13" max="13" width="20.59765625" customWidth="1"/>
    <col min="14" max="14" width="26.09765625" customWidth="1"/>
  </cols>
  <sheetData>
    <row r="2" spans="1:16" ht="22.2">
      <c r="C2" s="258" t="s">
        <v>156</v>
      </c>
      <c r="D2" s="258"/>
      <c r="E2" s="258"/>
      <c r="F2" s="259"/>
      <c r="G2" s="259"/>
      <c r="H2" s="260"/>
      <c r="I2" s="137"/>
    </row>
    <row r="3" spans="1:16" ht="22.2">
      <c r="C3" s="234" t="s">
        <v>244</v>
      </c>
      <c r="D3" s="234"/>
      <c r="E3" s="180" t="s">
        <v>349</v>
      </c>
      <c r="F3" s="142" t="s">
        <v>202</v>
      </c>
      <c r="G3" s="171" t="s">
        <v>187</v>
      </c>
      <c r="H3" s="171" t="s">
        <v>65</v>
      </c>
      <c r="I3" s="160"/>
      <c r="J3" s="147"/>
      <c r="K3" s="147"/>
      <c r="L3" s="147"/>
      <c r="M3" s="147"/>
    </row>
    <row r="4" spans="1:16">
      <c r="B4" s="166" t="s">
        <v>191</v>
      </c>
      <c r="C4" s="219" t="s">
        <v>302</v>
      </c>
      <c r="D4" s="219"/>
      <c r="E4" s="163" t="s">
        <v>322</v>
      </c>
      <c r="F4" s="106" t="s">
        <v>188</v>
      </c>
      <c r="G4" s="146">
        <v>15</v>
      </c>
      <c r="H4" s="146">
        <v>1.36</v>
      </c>
      <c r="I4" s="161"/>
      <c r="J4" s="145"/>
      <c r="K4" s="145"/>
      <c r="L4" s="145"/>
      <c r="M4" s="145"/>
    </row>
    <row r="5" spans="1:16">
      <c r="B5" s="166" t="s">
        <v>191</v>
      </c>
      <c r="C5" s="219" t="s">
        <v>304</v>
      </c>
      <c r="D5" s="219"/>
      <c r="E5" s="163" t="s">
        <v>305</v>
      </c>
      <c r="F5" s="106" t="s">
        <v>265</v>
      </c>
      <c r="G5" s="146">
        <v>15</v>
      </c>
      <c r="H5" s="146">
        <v>1.42</v>
      </c>
      <c r="I5" s="161"/>
      <c r="J5" s="145"/>
      <c r="K5" s="145"/>
      <c r="L5" s="145"/>
      <c r="M5" s="145"/>
    </row>
    <row r="6" spans="1:16">
      <c r="B6" s="166" t="s">
        <v>191</v>
      </c>
      <c r="C6" s="219" t="s">
        <v>303</v>
      </c>
      <c r="D6" s="219"/>
      <c r="E6" s="163" t="s">
        <v>313</v>
      </c>
      <c r="F6" s="106" t="s">
        <v>266</v>
      </c>
      <c r="G6" s="146">
        <v>15</v>
      </c>
      <c r="H6" s="146">
        <v>1.51</v>
      </c>
      <c r="I6" s="161"/>
      <c r="J6" s="145"/>
      <c r="K6" s="145"/>
      <c r="L6" s="145"/>
      <c r="M6" s="145"/>
    </row>
    <row r="7" spans="1:16">
      <c r="B7" s="166" t="s">
        <v>191</v>
      </c>
      <c r="C7" s="219" t="s">
        <v>199</v>
      </c>
      <c r="D7" s="219"/>
      <c r="E7" s="163" t="s">
        <v>324</v>
      </c>
      <c r="F7" s="106" t="s">
        <v>267</v>
      </c>
      <c r="G7" s="146">
        <v>15</v>
      </c>
      <c r="H7" s="146">
        <v>1.55</v>
      </c>
      <c r="I7" s="161"/>
      <c r="J7" s="145"/>
      <c r="K7" s="145"/>
      <c r="L7" s="145"/>
      <c r="M7" s="145"/>
    </row>
    <row r="8" spans="1:16">
      <c r="B8" s="166" t="s">
        <v>191</v>
      </c>
      <c r="C8" s="219" t="s">
        <v>323</v>
      </c>
      <c r="D8" s="219"/>
      <c r="E8" s="163" t="s">
        <v>325</v>
      </c>
      <c r="F8" s="18" t="s">
        <v>189</v>
      </c>
      <c r="G8" s="146">
        <v>15</v>
      </c>
      <c r="H8" s="146">
        <v>1.6080000000000001</v>
      </c>
      <c r="I8" s="263" t="s">
        <v>206</v>
      </c>
      <c r="J8" s="263"/>
      <c r="K8" s="263"/>
      <c r="L8" s="263"/>
      <c r="M8" s="263"/>
      <c r="N8" s="263"/>
      <c r="O8" s="150"/>
      <c r="P8" s="150"/>
    </row>
    <row r="9" spans="1:16">
      <c r="B9" s="130" t="s">
        <v>191</v>
      </c>
      <c r="C9" s="238" t="s">
        <v>326</v>
      </c>
      <c r="D9" s="238"/>
      <c r="E9" s="164" t="s">
        <v>327</v>
      </c>
      <c r="F9" s="18" t="s">
        <v>269</v>
      </c>
      <c r="G9" s="146">
        <v>15</v>
      </c>
      <c r="H9" s="146">
        <v>1.76</v>
      </c>
      <c r="I9" s="263" t="s">
        <v>245</v>
      </c>
      <c r="J9" s="263"/>
      <c r="K9" s="263"/>
      <c r="L9" s="263"/>
      <c r="M9" s="263"/>
      <c r="N9" s="263"/>
      <c r="O9" s="150"/>
      <c r="P9" s="150"/>
    </row>
    <row r="10" spans="1:16">
      <c r="B10" s="130" t="s">
        <v>191</v>
      </c>
      <c r="C10" s="264" t="s">
        <v>328</v>
      </c>
      <c r="D10" s="265"/>
      <c r="E10" s="170" t="s">
        <v>330</v>
      </c>
      <c r="F10" s="18" t="s">
        <v>243</v>
      </c>
      <c r="G10" s="146">
        <v>17</v>
      </c>
      <c r="H10" s="146">
        <v>1.53</v>
      </c>
      <c r="I10" s="263" t="s">
        <v>246</v>
      </c>
      <c r="J10" s="263"/>
      <c r="K10" s="263"/>
      <c r="L10" s="263"/>
      <c r="M10" s="263"/>
      <c r="N10" s="263"/>
      <c r="O10" s="150"/>
      <c r="P10" s="150"/>
    </row>
    <row r="11" spans="1:16">
      <c r="I11" s="262" t="s">
        <v>259</v>
      </c>
      <c r="J11" s="262"/>
      <c r="K11" s="262"/>
    </row>
    <row r="13" spans="1:16" ht="22.2">
      <c r="A13" s="275" t="s">
        <v>352</v>
      </c>
      <c r="B13" s="275"/>
      <c r="C13" s="245" t="s">
        <v>214</v>
      </c>
      <c r="D13" s="245"/>
      <c r="E13" s="175" t="s">
        <v>238</v>
      </c>
      <c r="F13" s="176">
        <f>IF(C13="","",VLOOKUP($C13,推奨設定一覧!A2:B15,2,FALSE))</f>
        <v>50000</v>
      </c>
    </row>
    <row r="14" spans="1:16">
      <c r="A14" s="276" t="s">
        <v>237</v>
      </c>
      <c r="B14" s="276"/>
    </row>
    <row r="15" spans="1:16">
      <c r="A15" s="25"/>
      <c r="B15" s="25"/>
    </row>
    <row r="16" spans="1:16" ht="22.2">
      <c r="A16" s="25"/>
      <c r="B16" s="258" t="s">
        <v>353</v>
      </c>
      <c r="C16" s="258"/>
      <c r="D16" s="258"/>
      <c r="E16" s="204">
        <v>680967</v>
      </c>
      <c r="F16" s="258" t="s">
        <v>286</v>
      </c>
      <c r="G16" s="258"/>
      <c r="H16" s="176">
        <f>0.01+ROUNDDOWN((E16-F13)/F13*0.01,4)</f>
        <v>0.1361</v>
      </c>
    </row>
    <row r="17" spans="1:16" ht="22.2">
      <c r="A17" s="25"/>
      <c r="B17" s="25"/>
      <c r="F17" s="258" t="s">
        <v>287</v>
      </c>
      <c r="G17" s="258"/>
      <c r="H17" s="176">
        <f>F13*(H16+0.0001)*100</f>
        <v>680999.99999999988</v>
      </c>
    </row>
    <row r="18" spans="1:16" ht="22.2">
      <c r="A18" s="25"/>
      <c r="B18" s="272" t="s">
        <v>300</v>
      </c>
      <c r="C18" s="272"/>
      <c r="D18" s="272"/>
      <c r="E18" s="245" t="str">
        <f>IF(C13="","",VLOOKUP($C13,推奨設定一覧!A2:E15,5,FALSE))</f>
        <v>レベルアップ目標額　90000</v>
      </c>
      <c r="F18" s="245"/>
      <c r="G18" s="245"/>
      <c r="H18" s="147"/>
    </row>
    <row r="20" spans="1:16">
      <c r="B20" s="261" t="s">
        <v>249</v>
      </c>
      <c r="C20" s="261"/>
      <c r="D20" s="261"/>
      <c r="E20" s="261"/>
      <c r="F20" s="261"/>
      <c r="G20" s="172"/>
      <c r="H20" s="172"/>
      <c r="I20" s="172"/>
    </row>
    <row r="22" spans="1:16">
      <c r="B22" s="266" t="s">
        <v>239</v>
      </c>
      <c r="C22" s="267"/>
      <c r="D22" s="266" t="s">
        <v>210</v>
      </c>
      <c r="E22" s="267"/>
      <c r="F22" s="13" t="s">
        <v>213</v>
      </c>
      <c r="G22" s="273" t="s">
        <v>211</v>
      </c>
      <c r="H22" s="273"/>
      <c r="I22" s="273" t="s">
        <v>212</v>
      </c>
      <c r="J22" s="273"/>
      <c r="L22" s="25"/>
      <c r="M22" s="25"/>
      <c r="N22" s="25"/>
      <c r="O22" s="25"/>
    </row>
    <row r="23" spans="1:16" ht="22.2">
      <c r="B23" s="266">
        <f>F13</f>
        <v>50000</v>
      </c>
      <c r="C23" s="267"/>
      <c r="D23" s="268">
        <v>0.8</v>
      </c>
      <c r="E23" s="269"/>
      <c r="F23" s="177">
        <f>B23*D23*100</f>
        <v>4000000</v>
      </c>
      <c r="G23" s="274">
        <f>F23+B23*0.1</f>
        <v>4005000</v>
      </c>
      <c r="H23" s="274"/>
      <c r="I23" s="274">
        <f>F23+B23*0.01</f>
        <v>4000500</v>
      </c>
      <c r="J23" s="274"/>
      <c r="L23" s="169"/>
      <c r="M23" s="169"/>
      <c r="N23" s="169"/>
      <c r="O23" s="169"/>
    </row>
    <row r="24" spans="1:16">
      <c r="G24" s="25"/>
      <c r="H24" s="25"/>
      <c r="L24" s="25"/>
      <c r="M24" s="25"/>
    </row>
    <row r="25" spans="1:16">
      <c r="G25" s="25"/>
      <c r="H25" s="25"/>
      <c r="I25" s="25"/>
      <c r="J25" s="133"/>
      <c r="L25" s="25"/>
      <c r="M25" s="25"/>
      <c r="N25" s="25"/>
      <c r="O25" s="133"/>
    </row>
    <row r="26" spans="1:16">
      <c r="B26" s="261" t="s">
        <v>248</v>
      </c>
      <c r="C26" s="261"/>
      <c r="D26" s="261"/>
      <c r="E26" s="261"/>
      <c r="F26" s="261"/>
      <c r="G26" s="83"/>
      <c r="H26" s="83"/>
      <c r="I26" s="83"/>
      <c r="J26" s="270" t="s">
        <v>276</v>
      </c>
      <c r="K26" s="271"/>
      <c r="L26" s="271"/>
      <c r="M26" s="271"/>
      <c r="N26" s="271"/>
      <c r="O26" s="133"/>
    </row>
    <row r="27" spans="1:16">
      <c r="G27" s="25"/>
      <c r="H27" s="25"/>
      <c r="I27" s="25"/>
      <c r="J27" s="271"/>
      <c r="K27" s="271"/>
      <c r="L27" s="271"/>
      <c r="M27" s="271"/>
      <c r="N27" s="271"/>
      <c r="O27" s="133"/>
    </row>
    <row r="28" spans="1:16">
      <c r="A28" s="25"/>
      <c r="B28" s="219" t="s">
        <v>240</v>
      </c>
      <c r="C28" s="219"/>
      <c r="D28" s="178">
        <f>F13</f>
        <v>50000</v>
      </c>
      <c r="J28" s="224" t="s">
        <v>252</v>
      </c>
      <c r="K28" s="224"/>
      <c r="L28" s="224"/>
      <c r="M28" s="224"/>
      <c r="N28" s="224"/>
    </row>
    <row r="29" spans="1:16">
      <c r="B29" s="219" t="s">
        <v>197</v>
      </c>
      <c r="C29" s="219"/>
      <c r="D29" s="219"/>
      <c r="E29" s="219"/>
      <c r="F29" s="219"/>
      <c r="G29" s="25"/>
      <c r="H29" s="25"/>
      <c r="J29" s="219" t="s">
        <v>198</v>
      </c>
      <c r="K29" s="219"/>
      <c r="L29" s="219"/>
      <c r="M29" s="219"/>
      <c r="N29" s="219"/>
      <c r="O29" s="25"/>
      <c r="P29" s="25"/>
    </row>
    <row r="30" spans="1:16">
      <c r="B30" s="13"/>
      <c r="C30" s="18" t="s">
        <v>195</v>
      </c>
      <c r="D30" s="13"/>
      <c r="E30" s="18" t="s">
        <v>194</v>
      </c>
      <c r="F30" s="18" t="s">
        <v>247</v>
      </c>
      <c r="G30" s="25"/>
      <c r="H30" s="25"/>
      <c r="J30" s="18"/>
      <c r="K30" s="18" t="s">
        <v>195</v>
      </c>
      <c r="L30" s="18"/>
      <c r="M30" s="18" t="s">
        <v>196</v>
      </c>
      <c r="N30" s="18" t="s">
        <v>247</v>
      </c>
      <c r="O30" s="25"/>
      <c r="P30" s="25"/>
    </row>
    <row r="31" spans="1:16">
      <c r="B31" s="13">
        <f>$F$13</f>
        <v>50000</v>
      </c>
      <c r="C31" s="13">
        <v>0.01</v>
      </c>
      <c r="D31" s="13">
        <v>1.1000000000000001</v>
      </c>
      <c r="E31" s="18">
        <f>B31*D31</f>
        <v>55000.000000000007</v>
      </c>
      <c r="F31" s="18">
        <f>E31-B31*0.1</f>
        <v>50000.000000000007</v>
      </c>
      <c r="G31" s="25"/>
      <c r="H31" s="25"/>
      <c r="J31" s="13">
        <f>$F$13</f>
        <v>50000</v>
      </c>
      <c r="K31" s="13">
        <v>0.01</v>
      </c>
      <c r="L31" s="13">
        <v>1.01</v>
      </c>
      <c r="M31" s="18">
        <f>J31*L31</f>
        <v>50500</v>
      </c>
      <c r="N31" s="18">
        <f>M31-J31*0.01</f>
        <v>50000</v>
      </c>
      <c r="O31" s="25"/>
      <c r="P31" s="25"/>
    </row>
    <row r="32" spans="1:16">
      <c r="B32" s="13">
        <f t="shared" ref="B32:B95" si="0">$F$13</f>
        <v>50000</v>
      </c>
      <c r="C32" s="13">
        <v>1.0999999999999999E-2</v>
      </c>
      <c r="D32" s="13">
        <v>1.2</v>
      </c>
      <c r="E32" s="18">
        <f t="shared" ref="E32:E71" si="1">B32*D32</f>
        <v>60000</v>
      </c>
      <c r="F32" s="18">
        <f>E32-B32*0.1</f>
        <v>55000</v>
      </c>
      <c r="J32" s="13">
        <f t="shared" ref="J32:J95" si="2">$F$13</f>
        <v>50000</v>
      </c>
      <c r="K32" s="13">
        <v>1.01E-2</v>
      </c>
      <c r="L32" s="13">
        <v>1.02</v>
      </c>
      <c r="M32" s="18">
        <f t="shared" ref="M32:M95" si="3">J32*L32</f>
        <v>51000</v>
      </c>
      <c r="N32" s="18">
        <f t="shared" ref="N32:N95" si="4">M32-J32*0.01</f>
        <v>50500</v>
      </c>
    </row>
    <row r="33" spans="2:14">
      <c r="B33" s="13">
        <f t="shared" si="0"/>
        <v>50000</v>
      </c>
      <c r="C33" s="13">
        <v>1.2E-2</v>
      </c>
      <c r="D33" s="13">
        <v>1.3</v>
      </c>
      <c r="E33" s="18">
        <f t="shared" si="1"/>
        <v>65000</v>
      </c>
      <c r="F33" s="18">
        <f t="shared" ref="F33:F96" si="5">E33-B33*0.1</f>
        <v>60000</v>
      </c>
      <c r="J33" s="13">
        <f t="shared" si="2"/>
        <v>50000</v>
      </c>
      <c r="K33" s="13">
        <v>1.0200000000000001E-2</v>
      </c>
      <c r="L33" s="13">
        <v>1.03</v>
      </c>
      <c r="M33" s="18">
        <f t="shared" si="3"/>
        <v>51500</v>
      </c>
      <c r="N33" s="18">
        <f t="shared" si="4"/>
        <v>51000</v>
      </c>
    </row>
    <row r="34" spans="2:14">
      <c r="B34" s="13">
        <f t="shared" si="0"/>
        <v>50000</v>
      </c>
      <c r="C34" s="13">
        <v>1.2999999999999999E-2</v>
      </c>
      <c r="D34" s="13">
        <v>1.4</v>
      </c>
      <c r="E34" s="18">
        <f t="shared" si="1"/>
        <v>70000</v>
      </c>
      <c r="F34" s="18">
        <f t="shared" si="5"/>
        <v>65000</v>
      </c>
      <c r="J34" s="13">
        <f t="shared" si="2"/>
        <v>50000</v>
      </c>
      <c r="K34" s="13">
        <v>1.03E-2</v>
      </c>
      <c r="L34" s="13">
        <v>1.04</v>
      </c>
      <c r="M34" s="18">
        <f t="shared" si="3"/>
        <v>52000</v>
      </c>
      <c r="N34" s="18">
        <f t="shared" si="4"/>
        <v>51500</v>
      </c>
    </row>
    <row r="35" spans="2:14">
      <c r="B35" s="13">
        <f t="shared" si="0"/>
        <v>50000</v>
      </c>
      <c r="C35" s="13">
        <v>1.4E-2</v>
      </c>
      <c r="D35" s="13">
        <v>1.5</v>
      </c>
      <c r="E35" s="18">
        <f t="shared" si="1"/>
        <v>75000</v>
      </c>
      <c r="F35" s="18">
        <f t="shared" si="5"/>
        <v>70000</v>
      </c>
      <c r="J35" s="13">
        <f t="shared" si="2"/>
        <v>50000</v>
      </c>
      <c r="K35" s="13">
        <v>1.04E-2</v>
      </c>
      <c r="L35" s="13">
        <v>1.05</v>
      </c>
      <c r="M35" s="18">
        <f t="shared" si="3"/>
        <v>52500</v>
      </c>
      <c r="N35" s="18">
        <f t="shared" si="4"/>
        <v>52000</v>
      </c>
    </row>
    <row r="36" spans="2:14">
      <c r="B36" s="13">
        <f t="shared" si="0"/>
        <v>50000</v>
      </c>
      <c r="C36" s="13">
        <v>1.4999999999999999E-2</v>
      </c>
      <c r="D36" s="13">
        <v>1.6</v>
      </c>
      <c r="E36" s="18">
        <f t="shared" si="1"/>
        <v>80000</v>
      </c>
      <c r="F36" s="18">
        <f t="shared" si="5"/>
        <v>75000</v>
      </c>
      <c r="J36" s="13">
        <f t="shared" si="2"/>
        <v>50000</v>
      </c>
      <c r="K36" s="13">
        <v>1.0500000000000001E-2</v>
      </c>
      <c r="L36" s="13">
        <v>1.06</v>
      </c>
      <c r="M36" s="18">
        <f t="shared" si="3"/>
        <v>53000</v>
      </c>
      <c r="N36" s="18">
        <f t="shared" si="4"/>
        <v>52500</v>
      </c>
    </row>
    <row r="37" spans="2:14">
      <c r="B37" s="13">
        <f t="shared" si="0"/>
        <v>50000</v>
      </c>
      <c r="C37" s="13">
        <v>1.6E-2</v>
      </c>
      <c r="D37" s="13">
        <v>1.7</v>
      </c>
      <c r="E37" s="18">
        <f t="shared" si="1"/>
        <v>85000</v>
      </c>
      <c r="F37" s="18">
        <f t="shared" si="5"/>
        <v>80000</v>
      </c>
      <c r="J37" s="13">
        <f t="shared" si="2"/>
        <v>50000</v>
      </c>
      <c r="K37" s="13">
        <v>1.06E-2</v>
      </c>
      <c r="L37" s="13">
        <v>1.07</v>
      </c>
      <c r="M37" s="18">
        <f t="shared" si="3"/>
        <v>53500</v>
      </c>
      <c r="N37" s="18">
        <f t="shared" si="4"/>
        <v>53000</v>
      </c>
    </row>
    <row r="38" spans="2:14">
      <c r="B38" s="13">
        <f t="shared" si="0"/>
        <v>50000</v>
      </c>
      <c r="C38" s="13">
        <v>1.7000000000000001E-2</v>
      </c>
      <c r="D38" s="13">
        <v>1.8</v>
      </c>
      <c r="E38" s="18">
        <f t="shared" si="1"/>
        <v>90000</v>
      </c>
      <c r="F38" s="18">
        <f t="shared" si="5"/>
        <v>85000</v>
      </c>
      <c r="J38" s="13">
        <f t="shared" si="2"/>
        <v>50000</v>
      </c>
      <c r="K38" s="13">
        <v>1.0699999999999999E-2</v>
      </c>
      <c r="L38" s="13">
        <v>1.08</v>
      </c>
      <c r="M38" s="18">
        <f t="shared" si="3"/>
        <v>54000</v>
      </c>
      <c r="N38" s="18">
        <f t="shared" si="4"/>
        <v>53500</v>
      </c>
    </row>
    <row r="39" spans="2:14">
      <c r="B39" s="13">
        <f t="shared" si="0"/>
        <v>50000</v>
      </c>
      <c r="C39" s="13">
        <v>1.7999999999999999E-2</v>
      </c>
      <c r="D39" s="13">
        <v>1.9</v>
      </c>
      <c r="E39" s="18">
        <f t="shared" si="1"/>
        <v>95000</v>
      </c>
      <c r="F39" s="18">
        <f t="shared" si="5"/>
        <v>90000</v>
      </c>
      <c r="J39" s="13">
        <f t="shared" si="2"/>
        <v>50000</v>
      </c>
      <c r="K39" s="13">
        <v>1.0800000000000001E-2</v>
      </c>
      <c r="L39" s="13">
        <v>1.0900000000000001</v>
      </c>
      <c r="M39" s="18">
        <f t="shared" si="3"/>
        <v>54500.000000000007</v>
      </c>
      <c r="N39" s="18">
        <f t="shared" si="4"/>
        <v>54000.000000000007</v>
      </c>
    </row>
    <row r="40" spans="2:14">
      <c r="B40" s="13">
        <f t="shared" si="0"/>
        <v>50000</v>
      </c>
      <c r="C40" s="13">
        <v>1.9E-2</v>
      </c>
      <c r="D40" s="13">
        <v>2</v>
      </c>
      <c r="E40" s="18">
        <f t="shared" si="1"/>
        <v>100000</v>
      </c>
      <c r="F40" s="18">
        <f t="shared" si="5"/>
        <v>95000</v>
      </c>
      <c r="J40" s="13">
        <f t="shared" si="2"/>
        <v>50000</v>
      </c>
      <c r="K40" s="13">
        <v>1.09E-2</v>
      </c>
      <c r="L40" s="13">
        <v>1.1000000000000001</v>
      </c>
      <c r="M40" s="18">
        <f t="shared" si="3"/>
        <v>55000.000000000007</v>
      </c>
      <c r="N40" s="18">
        <f t="shared" si="4"/>
        <v>54500.000000000007</v>
      </c>
    </row>
    <row r="41" spans="2:14">
      <c r="B41" s="13">
        <f t="shared" si="0"/>
        <v>50000</v>
      </c>
      <c r="C41" s="13">
        <v>0.02</v>
      </c>
      <c r="D41" s="13">
        <v>2.1</v>
      </c>
      <c r="E41" s="18">
        <f t="shared" si="1"/>
        <v>105000</v>
      </c>
      <c r="F41" s="18">
        <f t="shared" si="5"/>
        <v>100000</v>
      </c>
      <c r="J41" s="13">
        <f t="shared" si="2"/>
        <v>50000</v>
      </c>
      <c r="K41" s="13">
        <v>1.0999999999999999E-2</v>
      </c>
      <c r="L41" s="13">
        <v>1.1100000000000001</v>
      </c>
      <c r="M41" s="18">
        <f t="shared" si="3"/>
        <v>55500.000000000007</v>
      </c>
      <c r="N41" s="18">
        <f t="shared" si="4"/>
        <v>55000.000000000007</v>
      </c>
    </row>
    <row r="42" spans="2:14">
      <c r="B42" s="13">
        <f t="shared" si="0"/>
        <v>50000</v>
      </c>
      <c r="C42" s="13">
        <v>2.1000000000000001E-2</v>
      </c>
      <c r="D42" s="13">
        <v>2.2000000000000002</v>
      </c>
      <c r="E42" s="18">
        <f t="shared" si="1"/>
        <v>110000.00000000001</v>
      </c>
      <c r="F42" s="18">
        <f t="shared" si="5"/>
        <v>105000.00000000001</v>
      </c>
      <c r="J42" s="13">
        <f t="shared" si="2"/>
        <v>50000</v>
      </c>
      <c r="K42" s="13">
        <v>1.11E-2</v>
      </c>
      <c r="L42" s="13">
        <v>1.1200000000000001</v>
      </c>
      <c r="M42" s="18">
        <f t="shared" si="3"/>
        <v>56000.000000000007</v>
      </c>
      <c r="N42" s="18">
        <f t="shared" si="4"/>
        <v>55500.000000000007</v>
      </c>
    </row>
    <row r="43" spans="2:14">
      <c r="B43" s="13">
        <f t="shared" si="0"/>
        <v>50000</v>
      </c>
      <c r="C43" s="13">
        <v>2.1999999999999999E-2</v>
      </c>
      <c r="D43" s="13">
        <v>2.2999999999999998</v>
      </c>
      <c r="E43" s="18">
        <f t="shared" si="1"/>
        <v>114999.99999999999</v>
      </c>
      <c r="F43" s="18">
        <f t="shared" si="5"/>
        <v>109999.99999999999</v>
      </c>
      <c r="J43" s="13">
        <f t="shared" si="2"/>
        <v>50000</v>
      </c>
      <c r="K43" s="13">
        <v>1.12E-2</v>
      </c>
      <c r="L43" s="13">
        <v>1.1299999999999999</v>
      </c>
      <c r="M43" s="18">
        <f t="shared" si="3"/>
        <v>56499.999999999993</v>
      </c>
      <c r="N43" s="18">
        <f t="shared" si="4"/>
        <v>55999.999999999993</v>
      </c>
    </row>
    <row r="44" spans="2:14">
      <c r="B44" s="13">
        <f t="shared" si="0"/>
        <v>50000</v>
      </c>
      <c r="C44" s="13">
        <v>2.3E-2</v>
      </c>
      <c r="D44" s="13">
        <v>2.4</v>
      </c>
      <c r="E44" s="18">
        <f t="shared" si="1"/>
        <v>120000</v>
      </c>
      <c r="F44" s="18">
        <f t="shared" si="5"/>
        <v>115000</v>
      </c>
      <c r="J44" s="13">
        <f t="shared" si="2"/>
        <v>50000</v>
      </c>
      <c r="K44" s="13">
        <v>1.1299999999999999E-2</v>
      </c>
      <c r="L44" s="13">
        <v>1.1399999999999999</v>
      </c>
      <c r="M44" s="18">
        <f t="shared" si="3"/>
        <v>56999.999999999993</v>
      </c>
      <c r="N44" s="18">
        <f t="shared" si="4"/>
        <v>56499.999999999993</v>
      </c>
    </row>
    <row r="45" spans="2:14">
      <c r="B45" s="13">
        <f t="shared" si="0"/>
        <v>50000</v>
      </c>
      <c r="C45" s="13">
        <v>2.4E-2</v>
      </c>
      <c r="D45" s="13">
        <v>2.5</v>
      </c>
      <c r="E45" s="18">
        <f t="shared" si="1"/>
        <v>125000</v>
      </c>
      <c r="F45" s="18">
        <f t="shared" si="5"/>
        <v>120000</v>
      </c>
      <c r="J45" s="13">
        <f t="shared" si="2"/>
        <v>50000</v>
      </c>
      <c r="K45" s="13">
        <v>1.14E-2</v>
      </c>
      <c r="L45" s="13">
        <v>1.1499999999999999</v>
      </c>
      <c r="M45" s="18">
        <f t="shared" si="3"/>
        <v>57499.999999999993</v>
      </c>
      <c r="N45" s="18">
        <f t="shared" si="4"/>
        <v>56999.999999999993</v>
      </c>
    </row>
    <row r="46" spans="2:14">
      <c r="B46" s="13">
        <f t="shared" si="0"/>
        <v>50000</v>
      </c>
      <c r="C46" s="13">
        <v>2.5000000000000001E-2</v>
      </c>
      <c r="D46" s="13">
        <v>2.6</v>
      </c>
      <c r="E46" s="18">
        <f t="shared" si="1"/>
        <v>130000</v>
      </c>
      <c r="F46" s="18">
        <f t="shared" si="5"/>
        <v>125000</v>
      </c>
      <c r="J46" s="13">
        <f t="shared" si="2"/>
        <v>50000</v>
      </c>
      <c r="K46" s="13">
        <v>1.15E-2</v>
      </c>
      <c r="L46" s="13">
        <v>1.1599999999999999</v>
      </c>
      <c r="M46" s="18">
        <f t="shared" si="3"/>
        <v>57999.999999999993</v>
      </c>
      <c r="N46" s="18">
        <f t="shared" si="4"/>
        <v>57499.999999999993</v>
      </c>
    </row>
    <row r="47" spans="2:14">
      <c r="B47" s="13">
        <f t="shared" si="0"/>
        <v>50000</v>
      </c>
      <c r="C47" s="13">
        <v>2.5999999999999999E-2</v>
      </c>
      <c r="D47" s="13">
        <v>2.7</v>
      </c>
      <c r="E47" s="18">
        <f t="shared" si="1"/>
        <v>135000</v>
      </c>
      <c r="F47" s="18">
        <f t="shared" si="5"/>
        <v>130000</v>
      </c>
      <c r="J47" s="13">
        <f t="shared" si="2"/>
        <v>50000</v>
      </c>
      <c r="K47" s="13">
        <v>1.1599999999999999E-2</v>
      </c>
      <c r="L47" s="13">
        <v>1.17</v>
      </c>
      <c r="M47" s="18">
        <f t="shared" si="3"/>
        <v>58500</v>
      </c>
      <c r="N47" s="18">
        <f t="shared" si="4"/>
        <v>58000</v>
      </c>
    </row>
    <row r="48" spans="2:14">
      <c r="B48" s="13">
        <f t="shared" si="0"/>
        <v>50000</v>
      </c>
      <c r="C48" s="13">
        <v>2.7E-2</v>
      </c>
      <c r="D48" s="13">
        <v>2.8</v>
      </c>
      <c r="E48" s="18">
        <f t="shared" si="1"/>
        <v>140000</v>
      </c>
      <c r="F48" s="18">
        <f t="shared" si="5"/>
        <v>135000</v>
      </c>
      <c r="J48" s="13">
        <f t="shared" si="2"/>
        <v>50000</v>
      </c>
      <c r="K48" s="13">
        <v>1.17E-2</v>
      </c>
      <c r="L48" s="13">
        <v>1.18</v>
      </c>
      <c r="M48" s="18">
        <f t="shared" si="3"/>
        <v>59000</v>
      </c>
      <c r="N48" s="18">
        <f t="shared" si="4"/>
        <v>58500</v>
      </c>
    </row>
    <row r="49" spans="2:14">
      <c r="B49" s="13">
        <f t="shared" si="0"/>
        <v>50000</v>
      </c>
      <c r="C49" s="13">
        <v>2.8000000000000001E-2</v>
      </c>
      <c r="D49" s="13">
        <v>2.9</v>
      </c>
      <c r="E49" s="18">
        <f t="shared" si="1"/>
        <v>145000</v>
      </c>
      <c r="F49" s="18">
        <f t="shared" si="5"/>
        <v>140000</v>
      </c>
      <c r="J49" s="13">
        <f t="shared" si="2"/>
        <v>50000</v>
      </c>
      <c r="K49" s="13">
        <v>1.18E-2</v>
      </c>
      <c r="L49" s="13">
        <v>1.19</v>
      </c>
      <c r="M49" s="18">
        <f t="shared" si="3"/>
        <v>59500</v>
      </c>
      <c r="N49" s="18">
        <f t="shared" si="4"/>
        <v>59000</v>
      </c>
    </row>
    <row r="50" spans="2:14">
      <c r="B50" s="13">
        <f t="shared" si="0"/>
        <v>50000</v>
      </c>
      <c r="C50" s="13">
        <v>2.9000000000000001E-2</v>
      </c>
      <c r="D50" s="13">
        <v>3</v>
      </c>
      <c r="E50" s="18">
        <f t="shared" si="1"/>
        <v>150000</v>
      </c>
      <c r="F50" s="18">
        <f t="shared" si="5"/>
        <v>145000</v>
      </c>
      <c r="J50" s="13">
        <f t="shared" si="2"/>
        <v>50000</v>
      </c>
      <c r="K50" s="13">
        <v>1.1900000000000001E-2</v>
      </c>
      <c r="L50" s="13">
        <v>1.2</v>
      </c>
      <c r="M50" s="18">
        <f t="shared" si="3"/>
        <v>60000</v>
      </c>
      <c r="N50" s="18">
        <f t="shared" si="4"/>
        <v>59500</v>
      </c>
    </row>
    <row r="51" spans="2:14">
      <c r="B51" s="13">
        <f t="shared" si="0"/>
        <v>50000</v>
      </c>
      <c r="C51" s="13">
        <v>0.03</v>
      </c>
      <c r="D51" s="13">
        <v>3.1</v>
      </c>
      <c r="E51" s="18">
        <f t="shared" si="1"/>
        <v>155000</v>
      </c>
      <c r="F51" s="18">
        <f t="shared" si="5"/>
        <v>150000</v>
      </c>
      <c r="J51" s="13">
        <f t="shared" si="2"/>
        <v>50000</v>
      </c>
      <c r="K51" s="13">
        <v>1.2E-2</v>
      </c>
      <c r="L51" s="13">
        <v>1.21</v>
      </c>
      <c r="M51" s="18">
        <f t="shared" si="3"/>
        <v>60500</v>
      </c>
      <c r="N51" s="18">
        <f t="shared" si="4"/>
        <v>60000</v>
      </c>
    </row>
    <row r="52" spans="2:14">
      <c r="B52" s="13">
        <f t="shared" si="0"/>
        <v>50000</v>
      </c>
      <c r="C52" s="13">
        <v>3.1E-2</v>
      </c>
      <c r="D52" s="13">
        <v>3.2</v>
      </c>
      <c r="E52" s="18">
        <f t="shared" si="1"/>
        <v>160000</v>
      </c>
      <c r="F52" s="18">
        <f t="shared" si="5"/>
        <v>155000</v>
      </c>
      <c r="J52" s="13">
        <f t="shared" si="2"/>
        <v>50000</v>
      </c>
      <c r="K52" s="13">
        <v>1.21E-2</v>
      </c>
      <c r="L52" s="13">
        <v>1.22</v>
      </c>
      <c r="M52" s="18">
        <f t="shared" si="3"/>
        <v>61000</v>
      </c>
      <c r="N52" s="18">
        <f t="shared" si="4"/>
        <v>60500</v>
      </c>
    </row>
    <row r="53" spans="2:14">
      <c r="B53" s="13">
        <f t="shared" si="0"/>
        <v>50000</v>
      </c>
      <c r="C53" s="13">
        <v>3.2000000000000001E-2</v>
      </c>
      <c r="D53" s="13">
        <v>3.3</v>
      </c>
      <c r="E53" s="18">
        <f t="shared" si="1"/>
        <v>165000</v>
      </c>
      <c r="F53" s="18">
        <f t="shared" si="5"/>
        <v>160000</v>
      </c>
      <c r="J53" s="13">
        <f t="shared" si="2"/>
        <v>50000</v>
      </c>
      <c r="K53" s="13">
        <v>1.2200000000000001E-2</v>
      </c>
      <c r="L53" s="13">
        <v>1.23</v>
      </c>
      <c r="M53" s="18">
        <f t="shared" si="3"/>
        <v>61500</v>
      </c>
      <c r="N53" s="18">
        <f t="shared" si="4"/>
        <v>61000</v>
      </c>
    </row>
    <row r="54" spans="2:14">
      <c r="B54" s="13">
        <f t="shared" si="0"/>
        <v>50000</v>
      </c>
      <c r="C54" s="13">
        <v>3.3000000000000002E-2</v>
      </c>
      <c r="D54" s="13">
        <v>3.4</v>
      </c>
      <c r="E54" s="18">
        <f t="shared" si="1"/>
        <v>170000</v>
      </c>
      <c r="F54" s="18">
        <f t="shared" si="5"/>
        <v>165000</v>
      </c>
      <c r="J54" s="13">
        <f t="shared" si="2"/>
        <v>50000</v>
      </c>
      <c r="K54" s="13">
        <v>1.23E-2</v>
      </c>
      <c r="L54" s="13">
        <v>1.24</v>
      </c>
      <c r="M54" s="18">
        <f t="shared" si="3"/>
        <v>62000</v>
      </c>
      <c r="N54" s="18">
        <f t="shared" si="4"/>
        <v>61500</v>
      </c>
    </row>
    <row r="55" spans="2:14">
      <c r="B55" s="13">
        <f t="shared" si="0"/>
        <v>50000</v>
      </c>
      <c r="C55" s="13">
        <v>3.4000000000000002E-2</v>
      </c>
      <c r="D55" s="13">
        <v>3.5</v>
      </c>
      <c r="E55" s="18">
        <f t="shared" si="1"/>
        <v>175000</v>
      </c>
      <c r="F55" s="18">
        <f t="shared" si="5"/>
        <v>170000</v>
      </c>
      <c r="J55" s="13">
        <f t="shared" si="2"/>
        <v>50000</v>
      </c>
      <c r="K55" s="13">
        <v>1.24E-2</v>
      </c>
      <c r="L55" s="13">
        <v>1.25</v>
      </c>
      <c r="M55" s="18">
        <f t="shared" si="3"/>
        <v>62500</v>
      </c>
      <c r="N55" s="18">
        <f t="shared" si="4"/>
        <v>62000</v>
      </c>
    </row>
    <row r="56" spans="2:14">
      <c r="B56" s="13">
        <f t="shared" si="0"/>
        <v>50000</v>
      </c>
      <c r="C56" s="13">
        <v>3.5000000000000003E-2</v>
      </c>
      <c r="D56" s="13">
        <v>3.6</v>
      </c>
      <c r="E56" s="18">
        <f t="shared" si="1"/>
        <v>180000</v>
      </c>
      <c r="F56" s="18">
        <f t="shared" si="5"/>
        <v>175000</v>
      </c>
      <c r="J56" s="13">
        <f t="shared" si="2"/>
        <v>50000</v>
      </c>
      <c r="K56" s="13">
        <v>1.2500000000000001E-2</v>
      </c>
      <c r="L56" s="13">
        <v>1.26</v>
      </c>
      <c r="M56" s="18">
        <f t="shared" si="3"/>
        <v>63000</v>
      </c>
      <c r="N56" s="18">
        <f t="shared" si="4"/>
        <v>62500</v>
      </c>
    </row>
    <row r="57" spans="2:14">
      <c r="B57" s="13">
        <f t="shared" si="0"/>
        <v>50000</v>
      </c>
      <c r="C57" s="13">
        <v>3.5999999999999997E-2</v>
      </c>
      <c r="D57" s="13">
        <v>3.7</v>
      </c>
      <c r="E57" s="18">
        <f t="shared" si="1"/>
        <v>185000</v>
      </c>
      <c r="F57" s="18">
        <f t="shared" si="5"/>
        <v>180000</v>
      </c>
      <c r="J57" s="13">
        <f t="shared" si="2"/>
        <v>50000</v>
      </c>
      <c r="K57" s="13">
        <v>1.26E-2</v>
      </c>
      <c r="L57" s="13">
        <v>1.27</v>
      </c>
      <c r="M57" s="18">
        <f t="shared" si="3"/>
        <v>63500</v>
      </c>
      <c r="N57" s="18">
        <f t="shared" si="4"/>
        <v>63000</v>
      </c>
    </row>
    <row r="58" spans="2:14">
      <c r="B58" s="13">
        <f t="shared" si="0"/>
        <v>50000</v>
      </c>
      <c r="C58" s="13">
        <v>3.6999999999999998E-2</v>
      </c>
      <c r="D58" s="13">
        <v>3.8</v>
      </c>
      <c r="E58" s="18">
        <f t="shared" si="1"/>
        <v>190000</v>
      </c>
      <c r="F58" s="18">
        <f t="shared" si="5"/>
        <v>185000</v>
      </c>
      <c r="J58" s="13">
        <f t="shared" si="2"/>
        <v>50000</v>
      </c>
      <c r="K58" s="13">
        <v>1.2699999999999999E-2</v>
      </c>
      <c r="L58" s="13">
        <v>1.28</v>
      </c>
      <c r="M58" s="18">
        <f t="shared" si="3"/>
        <v>64000</v>
      </c>
      <c r="N58" s="18">
        <f t="shared" si="4"/>
        <v>63500</v>
      </c>
    </row>
    <row r="59" spans="2:14">
      <c r="B59" s="13">
        <f t="shared" si="0"/>
        <v>50000</v>
      </c>
      <c r="C59" s="13">
        <v>3.7999999999999999E-2</v>
      </c>
      <c r="D59" s="13">
        <v>3.9</v>
      </c>
      <c r="E59" s="18">
        <f t="shared" si="1"/>
        <v>195000</v>
      </c>
      <c r="F59" s="18">
        <f t="shared" si="5"/>
        <v>190000</v>
      </c>
      <c r="J59" s="13">
        <f t="shared" si="2"/>
        <v>50000</v>
      </c>
      <c r="K59" s="13">
        <v>1.2800000000000001E-2</v>
      </c>
      <c r="L59" s="13">
        <v>1.29</v>
      </c>
      <c r="M59" s="18">
        <f t="shared" si="3"/>
        <v>64500</v>
      </c>
      <c r="N59" s="18">
        <f t="shared" si="4"/>
        <v>64000</v>
      </c>
    </row>
    <row r="60" spans="2:14">
      <c r="B60" s="13">
        <f t="shared" si="0"/>
        <v>50000</v>
      </c>
      <c r="C60" s="13">
        <v>3.9E-2</v>
      </c>
      <c r="D60" s="13">
        <v>4</v>
      </c>
      <c r="E60" s="18">
        <f t="shared" si="1"/>
        <v>200000</v>
      </c>
      <c r="F60" s="18">
        <f t="shared" si="5"/>
        <v>195000</v>
      </c>
      <c r="J60" s="13">
        <f t="shared" si="2"/>
        <v>50000</v>
      </c>
      <c r="K60" s="13">
        <v>1.29E-2</v>
      </c>
      <c r="L60" s="13">
        <v>1.3</v>
      </c>
      <c r="M60" s="18">
        <f t="shared" si="3"/>
        <v>65000</v>
      </c>
      <c r="N60" s="18">
        <f t="shared" si="4"/>
        <v>64500</v>
      </c>
    </row>
    <row r="61" spans="2:14">
      <c r="B61" s="13">
        <f t="shared" si="0"/>
        <v>50000</v>
      </c>
      <c r="C61" s="13">
        <v>0.04</v>
      </c>
      <c r="D61" s="13">
        <v>4.0999999999999996</v>
      </c>
      <c r="E61" s="18">
        <f t="shared" si="1"/>
        <v>204999.99999999997</v>
      </c>
      <c r="F61" s="18">
        <f t="shared" si="5"/>
        <v>199999.99999999997</v>
      </c>
      <c r="J61" s="13">
        <f t="shared" si="2"/>
        <v>50000</v>
      </c>
      <c r="K61" s="13">
        <v>1.2999999999999999E-2</v>
      </c>
      <c r="L61" s="13">
        <v>1.31</v>
      </c>
      <c r="M61" s="18">
        <f t="shared" si="3"/>
        <v>65500</v>
      </c>
      <c r="N61" s="18">
        <f t="shared" si="4"/>
        <v>65000</v>
      </c>
    </row>
    <row r="62" spans="2:14">
      <c r="B62" s="13">
        <f t="shared" si="0"/>
        <v>50000</v>
      </c>
      <c r="C62" s="13">
        <v>4.1000000000000002E-2</v>
      </c>
      <c r="D62" s="13">
        <v>4.2</v>
      </c>
      <c r="E62" s="18">
        <f t="shared" si="1"/>
        <v>210000</v>
      </c>
      <c r="F62" s="18">
        <f t="shared" si="5"/>
        <v>205000</v>
      </c>
      <c r="J62" s="13">
        <f t="shared" si="2"/>
        <v>50000</v>
      </c>
      <c r="K62" s="13">
        <v>1.3100000000000001E-2</v>
      </c>
      <c r="L62" s="13">
        <v>1.32</v>
      </c>
      <c r="M62" s="18">
        <f t="shared" si="3"/>
        <v>66000</v>
      </c>
      <c r="N62" s="18">
        <f t="shared" si="4"/>
        <v>65500</v>
      </c>
    </row>
    <row r="63" spans="2:14">
      <c r="B63" s="13">
        <f t="shared" si="0"/>
        <v>50000</v>
      </c>
      <c r="C63" s="13">
        <v>4.2000000000000003E-2</v>
      </c>
      <c r="D63" s="13">
        <v>4.3</v>
      </c>
      <c r="E63" s="18">
        <f t="shared" si="1"/>
        <v>215000</v>
      </c>
      <c r="F63" s="18">
        <f t="shared" si="5"/>
        <v>210000</v>
      </c>
      <c r="J63" s="13">
        <f t="shared" si="2"/>
        <v>50000</v>
      </c>
      <c r="K63" s="13">
        <v>1.32E-2</v>
      </c>
      <c r="L63" s="13">
        <v>1.33</v>
      </c>
      <c r="M63" s="18">
        <f t="shared" si="3"/>
        <v>66500</v>
      </c>
      <c r="N63" s="18">
        <f t="shared" si="4"/>
        <v>66000</v>
      </c>
    </row>
    <row r="64" spans="2:14">
      <c r="B64" s="13">
        <f t="shared" si="0"/>
        <v>50000</v>
      </c>
      <c r="C64" s="13">
        <v>4.2999999999999997E-2</v>
      </c>
      <c r="D64" s="13">
        <v>4.4000000000000004</v>
      </c>
      <c r="E64" s="18">
        <f t="shared" si="1"/>
        <v>220000.00000000003</v>
      </c>
      <c r="F64" s="18">
        <f t="shared" si="5"/>
        <v>215000.00000000003</v>
      </c>
      <c r="J64" s="13">
        <f t="shared" si="2"/>
        <v>50000</v>
      </c>
      <c r="K64" s="13">
        <v>1.3299999999999999E-2</v>
      </c>
      <c r="L64" s="13">
        <v>1.34</v>
      </c>
      <c r="M64" s="18">
        <f t="shared" si="3"/>
        <v>67000</v>
      </c>
      <c r="N64" s="18">
        <f t="shared" si="4"/>
        <v>66500</v>
      </c>
    </row>
    <row r="65" spans="2:14">
      <c r="B65" s="13">
        <f t="shared" si="0"/>
        <v>50000</v>
      </c>
      <c r="C65" s="13">
        <v>4.3999999999999997E-2</v>
      </c>
      <c r="D65" s="13">
        <v>4.5</v>
      </c>
      <c r="E65" s="18">
        <f t="shared" si="1"/>
        <v>225000</v>
      </c>
      <c r="F65" s="18">
        <f t="shared" si="5"/>
        <v>220000</v>
      </c>
      <c r="J65" s="13">
        <f t="shared" si="2"/>
        <v>50000</v>
      </c>
      <c r="K65" s="13">
        <v>1.34E-2</v>
      </c>
      <c r="L65" s="13">
        <v>1.35</v>
      </c>
      <c r="M65" s="18">
        <f t="shared" si="3"/>
        <v>67500</v>
      </c>
      <c r="N65" s="18">
        <f t="shared" si="4"/>
        <v>67000</v>
      </c>
    </row>
    <row r="66" spans="2:14">
      <c r="B66" s="13">
        <f t="shared" si="0"/>
        <v>50000</v>
      </c>
      <c r="C66" s="13">
        <v>4.4999999999999998E-2</v>
      </c>
      <c r="D66" s="13">
        <v>4.5999999999999996</v>
      </c>
      <c r="E66" s="18">
        <f t="shared" si="1"/>
        <v>229999.99999999997</v>
      </c>
      <c r="F66" s="18">
        <f t="shared" si="5"/>
        <v>224999.99999999997</v>
      </c>
      <c r="J66" s="13">
        <f t="shared" si="2"/>
        <v>50000</v>
      </c>
      <c r="K66" s="13">
        <v>1.35E-2</v>
      </c>
      <c r="L66" s="13">
        <v>1.36</v>
      </c>
      <c r="M66" s="18">
        <f t="shared" si="3"/>
        <v>68000</v>
      </c>
      <c r="N66" s="18">
        <f t="shared" si="4"/>
        <v>67500</v>
      </c>
    </row>
    <row r="67" spans="2:14">
      <c r="B67" s="13">
        <f t="shared" si="0"/>
        <v>50000</v>
      </c>
      <c r="C67" s="13">
        <v>4.5999999999999999E-2</v>
      </c>
      <c r="D67" s="13">
        <v>4.7</v>
      </c>
      <c r="E67" s="18">
        <f t="shared" si="1"/>
        <v>235000</v>
      </c>
      <c r="F67" s="18">
        <f t="shared" si="5"/>
        <v>230000</v>
      </c>
      <c r="J67" s="13">
        <f t="shared" si="2"/>
        <v>50000</v>
      </c>
      <c r="K67" s="13">
        <v>1.3599999999999999E-2</v>
      </c>
      <c r="L67" s="13">
        <v>1.37</v>
      </c>
      <c r="M67" s="18">
        <f t="shared" si="3"/>
        <v>68500</v>
      </c>
      <c r="N67" s="18">
        <f t="shared" si="4"/>
        <v>68000</v>
      </c>
    </row>
    <row r="68" spans="2:14">
      <c r="B68" s="13">
        <f t="shared" si="0"/>
        <v>50000</v>
      </c>
      <c r="C68" s="13">
        <v>4.7E-2</v>
      </c>
      <c r="D68" s="13">
        <v>4.8</v>
      </c>
      <c r="E68" s="18">
        <f t="shared" si="1"/>
        <v>240000</v>
      </c>
      <c r="F68" s="18">
        <f t="shared" si="5"/>
        <v>235000</v>
      </c>
      <c r="J68" s="13">
        <f t="shared" si="2"/>
        <v>50000</v>
      </c>
      <c r="K68" s="13">
        <v>1.37E-2</v>
      </c>
      <c r="L68" s="13">
        <v>1.38</v>
      </c>
      <c r="M68" s="18">
        <f t="shared" si="3"/>
        <v>69000</v>
      </c>
      <c r="N68" s="18">
        <f t="shared" si="4"/>
        <v>68500</v>
      </c>
    </row>
    <row r="69" spans="2:14">
      <c r="B69" s="13">
        <f t="shared" si="0"/>
        <v>50000</v>
      </c>
      <c r="C69" s="13">
        <v>4.8000000000000001E-2</v>
      </c>
      <c r="D69" s="13">
        <v>4.9000000000000004</v>
      </c>
      <c r="E69" s="18">
        <f t="shared" si="1"/>
        <v>245000.00000000003</v>
      </c>
      <c r="F69" s="18">
        <f t="shared" si="5"/>
        <v>240000.00000000003</v>
      </c>
      <c r="J69" s="13">
        <f t="shared" si="2"/>
        <v>50000</v>
      </c>
      <c r="K69" s="13">
        <v>1.38E-2</v>
      </c>
      <c r="L69" s="13">
        <v>1.39</v>
      </c>
      <c r="M69" s="18">
        <f t="shared" si="3"/>
        <v>69500</v>
      </c>
      <c r="N69" s="18">
        <f t="shared" si="4"/>
        <v>69000</v>
      </c>
    </row>
    <row r="70" spans="2:14">
      <c r="B70" s="13">
        <f t="shared" si="0"/>
        <v>50000</v>
      </c>
      <c r="C70" s="13">
        <v>4.9000000000000002E-2</v>
      </c>
      <c r="D70" s="13">
        <v>5</v>
      </c>
      <c r="E70" s="18">
        <f t="shared" si="1"/>
        <v>250000</v>
      </c>
      <c r="F70" s="18">
        <f t="shared" si="5"/>
        <v>245000</v>
      </c>
      <c r="J70" s="13">
        <f t="shared" si="2"/>
        <v>50000</v>
      </c>
      <c r="K70" s="13">
        <v>1.3899999999999999E-2</v>
      </c>
      <c r="L70" s="13">
        <v>1.4</v>
      </c>
      <c r="M70" s="18">
        <f t="shared" si="3"/>
        <v>70000</v>
      </c>
      <c r="N70" s="18">
        <f t="shared" si="4"/>
        <v>69500</v>
      </c>
    </row>
    <row r="71" spans="2:14">
      <c r="B71" s="13">
        <f t="shared" si="0"/>
        <v>50000</v>
      </c>
      <c r="C71" s="13">
        <v>0.05</v>
      </c>
      <c r="D71" s="13">
        <v>5.0999999999999996</v>
      </c>
      <c r="E71" s="18">
        <f t="shared" si="1"/>
        <v>254999.99999999997</v>
      </c>
      <c r="F71" s="18">
        <f t="shared" si="5"/>
        <v>249999.99999999997</v>
      </c>
      <c r="J71" s="13">
        <f t="shared" si="2"/>
        <v>50000</v>
      </c>
      <c r="K71" s="13">
        <v>1.4E-2</v>
      </c>
      <c r="L71" s="13">
        <v>1.41</v>
      </c>
      <c r="M71" s="18">
        <f t="shared" si="3"/>
        <v>70500</v>
      </c>
      <c r="N71" s="18">
        <f t="shared" si="4"/>
        <v>70000</v>
      </c>
    </row>
    <row r="72" spans="2:14">
      <c r="B72" s="13">
        <f t="shared" si="0"/>
        <v>50000</v>
      </c>
      <c r="C72" s="13">
        <v>5.0999999999999997E-2</v>
      </c>
      <c r="D72" s="13">
        <v>5.2</v>
      </c>
      <c r="E72" s="18">
        <f t="shared" ref="E72:E101" si="6">B72*D72</f>
        <v>260000</v>
      </c>
      <c r="F72" s="18">
        <f t="shared" si="5"/>
        <v>255000</v>
      </c>
      <c r="J72" s="13">
        <f t="shared" si="2"/>
        <v>50000</v>
      </c>
      <c r="K72" s="13">
        <v>1.41E-2</v>
      </c>
      <c r="L72" s="13">
        <v>1.42</v>
      </c>
      <c r="M72" s="18">
        <f t="shared" si="3"/>
        <v>71000</v>
      </c>
      <c r="N72" s="18">
        <f t="shared" si="4"/>
        <v>70500</v>
      </c>
    </row>
    <row r="73" spans="2:14">
      <c r="B73" s="13">
        <f t="shared" si="0"/>
        <v>50000</v>
      </c>
      <c r="C73" s="13">
        <v>5.1999999999999998E-2</v>
      </c>
      <c r="D73" s="13">
        <v>5.3</v>
      </c>
      <c r="E73" s="18">
        <f t="shared" si="6"/>
        <v>265000</v>
      </c>
      <c r="F73" s="18">
        <f t="shared" si="5"/>
        <v>260000</v>
      </c>
      <c r="J73" s="13">
        <f t="shared" si="2"/>
        <v>50000</v>
      </c>
      <c r="K73" s="13">
        <v>1.4200000000000001E-2</v>
      </c>
      <c r="L73" s="13">
        <v>1.43</v>
      </c>
      <c r="M73" s="18">
        <f t="shared" si="3"/>
        <v>71500</v>
      </c>
      <c r="N73" s="18">
        <f t="shared" si="4"/>
        <v>71000</v>
      </c>
    </row>
    <row r="74" spans="2:14">
      <c r="B74" s="13">
        <f t="shared" si="0"/>
        <v>50000</v>
      </c>
      <c r="C74" s="13">
        <v>5.2999999999999999E-2</v>
      </c>
      <c r="D74" s="13">
        <v>5.4</v>
      </c>
      <c r="E74" s="18">
        <f t="shared" si="6"/>
        <v>270000</v>
      </c>
      <c r="F74" s="18">
        <f t="shared" si="5"/>
        <v>265000</v>
      </c>
      <c r="J74" s="13">
        <f t="shared" si="2"/>
        <v>50000</v>
      </c>
      <c r="K74" s="13">
        <v>1.43E-2</v>
      </c>
      <c r="L74" s="13">
        <v>1.44</v>
      </c>
      <c r="M74" s="18">
        <f t="shared" si="3"/>
        <v>72000</v>
      </c>
      <c r="N74" s="18">
        <f t="shared" si="4"/>
        <v>71500</v>
      </c>
    </row>
    <row r="75" spans="2:14">
      <c r="B75" s="13">
        <f t="shared" si="0"/>
        <v>50000</v>
      </c>
      <c r="C75" s="13">
        <v>5.3999999999999999E-2</v>
      </c>
      <c r="D75" s="13">
        <v>5.5</v>
      </c>
      <c r="E75" s="18">
        <f t="shared" si="6"/>
        <v>275000</v>
      </c>
      <c r="F75" s="18">
        <f t="shared" si="5"/>
        <v>270000</v>
      </c>
      <c r="J75" s="13">
        <f t="shared" si="2"/>
        <v>50000</v>
      </c>
      <c r="K75" s="13">
        <v>1.44E-2</v>
      </c>
      <c r="L75" s="13">
        <v>1.45</v>
      </c>
      <c r="M75" s="18">
        <f t="shared" si="3"/>
        <v>72500</v>
      </c>
      <c r="N75" s="18">
        <f t="shared" si="4"/>
        <v>72000</v>
      </c>
    </row>
    <row r="76" spans="2:14">
      <c r="B76" s="13">
        <f t="shared" si="0"/>
        <v>50000</v>
      </c>
      <c r="C76" s="13">
        <v>5.5E-2</v>
      </c>
      <c r="D76" s="13">
        <v>5.6</v>
      </c>
      <c r="E76" s="18">
        <f t="shared" si="6"/>
        <v>280000</v>
      </c>
      <c r="F76" s="18">
        <f t="shared" si="5"/>
        <v>275000</v>
      </c>
      <c r="J76" s="13">
        <f t="shared" si="2"/>
        <v>50000</v>
      </c>
      <c r="K76" s="13">
        <v>1.4500000000000001E-2</v>
      </c>
      <c r="L76" s="13">
        <v>1.46</v>
      </c>
      <c r="M76" s="18">
        <f t="shared" si="3"/>
        <v>73000</v>
      </c>
      <c r="N76" s="18">
        <f t="shared" si="4"/>
        <v>72500</v>
      </c>
    </row>
    <row r="77" spans="2:14">
      <c r="B77" s="13">
        <f t="shared" si="0"/>
        <v>50000</v>
      </c>
      <c r="C77" s="13">
        <v>5.6000000000000001E-2</v>
      </c>
      <c r="D77" s="13">
        <v>5.7</v>
      </c>
      <c r="E77" s="18">
        <f t="shared" si="6"/>
        <v>285000</v>
      </c>
      <c r="F77" s="18">
        <f t="shared" si="5"/>
        <v>280000</v>
      </c>
      <c r="J77" s="13">
        <f t="shared" si="2"/>
        <v>50000</v>
      </c>
      <c r="K77" s="13">
        <v>1.46E-2</v>
      </c>
      <c r="L77" s="13">
        <v>1.47</v>
      </c>
      <c r="M77" s="18">
        <f t="shared" si="3"/>
        <v>73500</v>
      </c>
      <c r="N77" s="18">
        <f t="shared" si="4"/>
        <v>73000</v>
      </c>
    </row>
    <row r="78" spans="2:14">
      <c r="B78" s="13">
        <f t="shared" si="0"/>
        <v>50000</v>
      </c>
      <c r="C78" s="13">
        <v>5.7000000000000002E-2</v>
      </c>
      <c r="D78" s="13">
        <v>5.8</v>
      </c>
      <c r="E78" s="18">
        <f t="shared" si="6"/>
        <v>290000</v>
      </c>
      <c r="F78" s="18">
        <f t="shared" si="5"/>
        <v>285000</v>
      </c>
      <c r="J78" s="13">
        <f t="shared" si="2"/>
        <v>50000</v>
      </c>
      <c r="K78" s="13">
        <v>1.47E-2</v>
      </c>
      <c r="L78" s="13">
        <v>1.48</v>
      </c>
      <c r="M78" s="18">
        <f t="shared" si="3"/>
        <v>74000</v>
      </c>
      <c r="N78" s="18">
        <f t="shared" si="4"/>
        <v>73500</v>
      </c>
    </row>
    <row r="79" spans="2:14">
      <c r="B79" s="13">
        <f t="shared" si="0"/>
        <v>50000</v>
      </c>
      <c r="C79" s="13">
        <v>5.8000000000000003E-2</v>
      </c>
      <c r="D79" s="13">
        <v>5.9</v>
      </c>
      <c r="E79" s="18">
        <f t="shared" si="6"/>
        <v>295000</v>
      </c>
      <c r="F79" s="18">
        <f t="shared" si="5"/>
        <v>290000</v>
      </c>
      <c r="J79" s="13">
        <f t="shared" si="2"/>
        <v>50000</v>
      </c>
      <c r="K79" s="13">
        <v>1.4800000000000001E-2</v>
      </c>
      <c r="L79" s="13">
        <v>1.49</v>
      </c>
      <c r="M79" s="18">
        <f t="shared" si="3"/>
        <v>74500</v>
      </c>
      <c r="N79" s="18">
        <f t="shared" si="4"/>
        <v>74000</v>
      </c>
    </row>
    <row r="80" spans="2:14">
      <c r="B80" s="13">
        <f t="shared" si="0"/>
        <v>50000</v>
      </c>
      <c r="C80" s="13">
        <v>5.8999999999999997E-2</v>
      </c>
      <c r="D80" s="13">
        <v>6</v>
      </c>
      <c r="E80" s="18">
        <f t="shared" si="6"/>
        <v>300000</v>
      </c>
      <c r="F80" s="18">
        <f t="shared" si="5"/>
        <v>295000</v>
      </c>
      <c r="J80" s="13">
        <f t="shared" si="2"/>
        <v>50000</v>
      </c>
      <c r="K80" s="13">
        <v>1.49E-2</v>
      </c>
      <c r="L80" s="13">
        <v>1.5</v>
      </c>
      <c r="M80" s="18">
        <f t="shared" si="3"/>
        <v>75000</v>
      </c>
      <c r="N80" s="18">
        <f t="shared" si="4"/>
        <v>74500</v>
      </c>
    </row>
    <row r="81" spans="2:14">
      <c r="B81" s="13">
        <f t="shared" si="0"/>
        <v>50000</v>
      </c>
      <c r="C81" s="13">
        <v>0.06</v>
      </c>
      <c r="D81" s="13">
        <v>6.1</v>
      </c>
      <c r="E81" s="18">
        <f t="shared" si="6"/>
        <v>305000</v>
      </c>
      <c r="F81" s="18">
        <f t="shared" si="5"/>
        <v>300000</v>
      </c>
      <c r="J81" s="13">
        <f t="shared" si="2"/>
        <v>50000</v>
      </c>
      <c r="K81" s="13">
        <v>1.4999999999999999E-2</v>
      </c>
      <c r="L81" s="13">
        <v>1.51</v>
      </c>
      <c r="M81" s="18">
        <f t="shared" si="3"/>
        <v>75500</v>
      </c>
      <c r="N81" s="18">
        <f t="shared" si="4"/>
        <v>75000</v>
      </c>
    </row>
    <row r="82" spans="2:14">
      <c r="B82" s="13">
        <f t="shared" si="0"/>
        <v>50000</v>
      </c>
      <c r="C82" s="13">
        <v>6.0999999999999999E-2</v>
      </c>
      <c r="D82" s="13">
        <v>6.2</v>
      </c>
      <c r="E82" s="18">
        <f t="shared" si="6"/>
        <v>310000</v>
      </c>
      <c r="F82" s="18">
        <f t="shared" si="5"/>
        <v>305000</v>
      </c>
      <c r="J82" s="13">
        <f t="shared" si="2"/>
        <v>50000</v>
      </c>
      <c r="K82" s="13">
        <v>1.5100000000000001E-2</v>
      </c>
      <c r="L82" s="13">
        <v>1.52</v>
      </c>
      <c r="M82" s="18">
        <f t="shared" si="3"/>
        <v>76000</v>
      </c>
      <c r="N82" s="18">
        <f t="shared" si="4"/>
        <v>75500</v>
      </c>
    </row>
    <row r="83" spans="2:14">
      <c r="B83" s="13">
        <f t="shared" si="0"/>
        <v>50000</v>
      </c>
      <c r="C83" s="13">
        <v>6.2E-2</v>
      </c>
      <c r="D83" s="13">
        <v>6.3</v>
      </c>
      <c r="E83" s="18">
        <f t="shared" si="6"/>
        <v>315000</v>
      </c>
      <c r="F83" s="18">
        <f t="shared" si="5"/>
        <v>310000</v>
      </c>
      <c r="J83" s="13">
        <f t="shared" si="2"/>
        <v>50000</v>
      </c>
      <c r="K83" s="13">
        <v>1.52E-2</v>
      </c>
      <c r="L83" s="13">
        <v>1.53</v>
      </c>
      <c r="M83" s="18">
        <f t="shared" si="3"/>
        <v>76500</v>
      </c>
      <c r="N83" s="18">
        <f t="shared" si="4"/>
        <v>76000</v>
      </c>
    </row>
    <row r="84" spans="2:14">
      <c r="B84" s="13">
        <f t="shared" si="0"/>
        <v>50000</v>
      </c>
      <c r="C84" s="13">
        <v>6.3E-2</v>
      </c>
      <c r="D84" s="13">
        <v>6.4</v>
      </c>
      <c r="E84" s="18">
        <f t="shared" si="6"/>
        <v>320000</v>
      </c>
      <c r="F84" s="18">
        <f t="shared" si="5"/>
        <v>315000</v>
      </c>
      <c r="J84" s="13">
        <f t="shared" si="2"/>
        <v>50000</v>
      </c>
      <c r="K84" s="13">
        <v>1.5299999999999999E-2</v>
      </c>
      <c r="L84" s="13">
        <v>1.54</v>
      </c>
      <c r="M84" s="18">
        <f t="shared" si="3"/>
        <v>77000</v>
      </c>
      <c r="N84" s="18">
        <f t="shared" si="4"/>
        <v>76500</v>
      </c>
    </row>
    <row r="85" spans="2:14">
      <c r="B85" s="13">
        <f t="shared" si="0"/>
        <v>50000</v>
      </c>
      <c r="C85" s="13">
        <v>6.4000000000000001E-2</v>
      </c>
      <c r="D85" s="13">
        <v>6.5</v>
      </c>
      <c r="E85" s="18">
        <f t="shared" si="6"/>
        <v>325000</v>
      </c>
      <c r="F85" s="18">
        <f t="shared" si="5"/>
        <v>320000</v>
      </c>
      <c r="J85" s="13">
        <f t="shared" si="2"/>
        <v>50000</v>
      </c>
      <c r="K85" s="13">
        <v>1.54E-2</v>
      </c>
      <c r="L85" s="13">
        <v>1.55</v>
      </c>
      <c r="M85" s="18">
        <f t="shared" si="3"/>
        <v>77500</v>
      </c>
      <c r="N85" s="18">
        <f t="shared" si="4"/>
        <v>77000</v>
      </c>
    </row>
    <row r="86" spans="2:14">
      <c r="B86" s="13">
        <f t="shared" si="0"/>
        <v>50000</v>
      </c>
      <c r="C86" s="13">
        <v>6.5000000000000002E-2</v>
      </c>
      <c r="D86" s="13">
        <v>6.6</v>
      </c>
      <c r="E86" s="18">
        <f t="shared" si="6"/>
        <v>330000</v>
      </c>
      <c r="F86" s="18">
        <f t="shared" si="5"/>
        <v>325000</v>
      </c>
      <c r="J86" s="13">
        <f t="shared" si="2"/>
        <v>50000</v>
      </c>
      <c r="K86" s="13">
        <v>1.55E-2</v>
      </c>
      <c r="L86" s="13">
        <v>1.56</v>
      </c>
      <c r="M86" s="18">
        <f t="shared" si="3"/>
        <v>78000</v>
      </c>
      <c r="N86" s="18">
        <f t="shared" si="4"/>
        <v>77500</v>
      </c>
    </row>
    <row r="87" spans="2:14">
      <c r="B87" s="13">
        <f t="shared" si="0"/>
        <v>50000</v>
      </c>
      <c r="C87" s="13">
        <v>6.6000000000000003E-2</v>
      </c>
      <c r="D87" s="13">
        <v>6.6999999999999904</v>
      </c>
      <c r="E87" s="18">
        <f t="shared" si="6"/>
        <v>334999.99999999953</v>
      </c>
      <c r="F87" s="18">
        <f t="shared" si="5"/>
        <v>329999.99999999953</v>
      </c>
      <c r="J87" s="13">
        <f t="shared" si="2"/>
        <v>50000</v>
      </c>
      <c r="K87" s="13">
        <v>1.5599999999999999E-2</v>
      </c>
      <c r="L87" s="13">
        <v>1.57</v>
      </c>
      <c r="M87" s="18">
        <f t="shared" si="3"/>
        <v>78500</v>
      </c>
      <c r="N87" s="18">
        <f t="shared" si="4"/>
        <v>78000</v>
      </c>
    </row>
    <row r="88" spans="2:14">
      <c r="B88" s="13">
        <f t="shared" si="0"/>
        <v>50000</v>
      </c>
      <c r="C88" s="13">
        <v>6.7000000000000004E-2</v>
      </c>
      <c r="D88" s="13">
        <v>6.7999999999999901</v>
      </c>
      <c r="E88" s="18">
        <f t="shared" si="6"/>
        <v>339999.99999999948</v>
      </c>
      <c r="F88" s="18">
        <f t="shared" si="5"/>
        <v>334999.99999999948</v>
      </c>
      <c r="J88" s="13">
        <f t="shared" si="2"/>
        <v>50000</v>
      </c>
      <c r="K88" s="13">
        <v>1.5699999999999999E-2</v>
      </c>
      <c r="L88" s="13">
        <v>1.58</v>
      </c>
      <c r="M88" s="18">
        <f t="shared" si="3"/>
        <v>79000</v>
      </c>
      <c r="N88" s="18">
        <f t="shared" si="4"/>
        <v>78500</v>
      </c>
    </row>
    <row r="89" spans="2:14">
      <c r="B89" s="13">
        <f t="shared" si="0"/>
        <v>50000</v>
      </c>
      <c r="C89" s="13">
        <v>6.8000000000000005E-2</v>
      </c>
      <c r="D89" s="13">
        <v>6.8999999999999897</v>
      </c>
      <c r="E89" s="18">
        <f t="shared" si="6"/>
        <v>344999.99999999948</v>
      </c>
      <c r="F89" s="18">
        <f t="shared" si="5"/>
        <v>339999.99999999948</v>
      </c>
      <c r="J89" s="13">
        <f t="shared" si="2"/>
        <v>50000</v>
      </c>
      <c r="K89" s="13">
        <v>1.5800000000000002E-2</v>
      </c>
      <c r="L89" s="13">
        <v>1.59</v>
      </c>
      <c r="M89" s="18">
        <f t="shared" si="3"/>
        <v>79500</v>
      </c>
      <c r="N89" s="18">
        <f t="shared" si="4"/>
        <v>79000</v>
      </c>
    </row>
    <row r="90" spans="2:14">
      <c r="B90" s="13">
        <f t="shared" si="0"/>
        <v>50000</v>
      </c>
      <c r="C90" s="13">
        <v>6.9000000000000006E-2</v>
      </c>
      <c r="D90" s="13">
        <v>6.9999999999999902</v>
      </c>
      <c r="E90" s="18">
        <f t="shared" si="6"/>
        <v>349999.99999999953</v>
      </c>
      <c r="F90" s="18">
        <f t="shared" si="5"/>
        <v>344999.99999999953</v>
      </c>
      <c r="J90" s="13">
        <f t="shared" si="2"/>
        <v>50000</v>
      </c>
      <c r="K90" s="13">
        <v>1.5900000000000001E-2</v>
      </c>
      <c r="L90" s="13">
        <v>1.6</v>
      </c>
      <c r="M90" s="18">
        <f t="shared" si="3"/>
        <v>80000</v>
      </c>
      <c r="N90" s="18">
        <f t="shared" si="4"/>
        <v>79500</v>
      </c>
    </row>
    <row r="91" spans="2:14">
      <c r="B91" s="13">
        <f t="shared" si="0"/>
        <v>50000</v>
      </c>
      <c r="C91" s="13">
        <v>7.0000000000000007E-2</v>
      </c>
      <c r="D91" s="13">
        <v>7.0999999999999899</v>
      </c>
      <c r="E91" s="18">
        <f t="shared" si="6"/>
        <v>354999.99999999948</v>
      </c>
      <c r="F91" s="18">
        <f t="shared" si="5"/>
        <v>349999.99999999948</v>
      </c>
      <c r="J91" s="13">
        <f t="shared" si="2"/>
        <v>50000</v>
      </c>
      <c r="K91" s="13">
        <v>1.6E-2</v>
      </c>
      <c r="L91" s="13">
        <v>1.61</v>
      </c>
      <c r="M91" s="18">
        <f t="shared" si="3"/>
        <v>80500</v>
      </c>
      <c r="N91" s="18">
        <f t="shared" si="4"/>
        <v>80000</v>
      </c>
    </row>
    <row r="92" spans="2:14">
      <c r="B92" s="13">
        <f t="shared" si="0"/>
        <v>50000</v>
      </c>
      <c r="C92" s="13">
        <v>7.0999999999999994E-2</v>
      </c>
      <c r="D92" s="13">
        <v>7.1999999999999904</v>
      </c>
      <c r="E92" s="18">
        <f t="shared" si="6"/>
        <v>359999.99999999953</v>
      </c>
      <c r="F92" s="18">
        <f t="shared" si="5"/>
        <v>354999.99999999953</v>
      </c>
      <c r="J92" s="13">
        <f t="shared" si="2"/>
        <v>50000</v>
      </c>
      <c r="K92" s="13">
        <v>1.61E-2</v>
      </c>
      <c r="L92" s="13">
        <v>1.62</v>
      </c>
      <c r="M92" s="18">
        <f t="shared" si="3"/>
        <v>81000</v>
      </c>
      <c r="N92" s="18">
        <f t="shared" si="4"/>
        <v>80500</v>
      </c>
    </row>
    <row r="93" spans="2:14">
      <c r="B93" s="13">
        <f t="shared" si="0"/>
        <v>50000</v>
      </c>
      <c r="C93" s="13">
        <v>7.1999999999999995E-2</v>
      </c>
      <c r="D93" s="13">
        <v>7.2999999999999901</v>
      </c>
      <c r="E93" s="18">
        <f t="shared" si="6"/>
        <v>364999.99999999948</v>
      </c>
      <c r="F93" s="18">
        <f t="shared" si="5"/>
        <v>359999.99999999948</v>
      </c>
      <c r="J93" s="13">
        <f t="shared" si="2"/>
        <v>50000</v>
      </c>
      <c r="K93" s="13">
        <v>1.6199999999999999E-2</v>
      </c>
      <c r="L93" s="13">
        <v>1.63</v>
      </c>
      <c r="M93" s="18">
        <f t="shared" si="3"/>
        <v>81500</v>
      </c>
      <c r="N93" s="18">
        <f t="shared" si="4"/>
        <v>81000</v>
      </c>
    </row>
    <row r="94" spans="2:14">
      <c r="B94" s="13">
        <f t="shared" si="0"/>
        <v>50000</v>
      </c>
      <c r="C94" s="13">
        <v>7.2999999999999995E-2</v>
      </c>
      <c r="D94" s="13">
        <v>7.3999999999999897</v>
      </c>
      <c r="E94" s="18">
        <f t="shared" si="6"/>
        <v>369999.99999999948</v>
      </c>
      <c r="F94" s="18">
        <f t="shared" si="5"/>
        <v>364999.99999999948</v>
      </c>
      <c r="J94" s="13">
        <f t="shared" si="2"/>
        <v>50000</v>
      </c>
      <c r="K94" s="13">
        <v>1.6299999999999999E-2</v>
      </c>
      <c r="L94" s="13">
        <v>1.64</v>
      </c>
      <c r="M94" s="18">
        <f t="shared" si="3"/>
        <v>82000</v>
      </c>
      <c r="N94" s="18">
        <f t="shared" si="4"/>
        <v>81500</v>
      </c>
    </row>
    <row r="95" spans="2:14">
      <c r="B95" s="13">
        <f t="shared" si="0"/>
        <v>50000</v>
      </c>
      <c r="C95" s="13">
        <v>7.3999999999999996E-2</v>
      </c>
      <c r="D95" s="13">
        <v>7.4999999999999902</v>
      </c>
      <c r="E95" s="18">
        <f t="shared" si="6"/>
        <v>374999.99999999953</v>
      </c>
      <c r="F95" s="18">
        <f t="shared" si="5"/>
        <v>369999.99999999953</v>
      </c>
      <c r="J95" s="13">
        <f t="shared" si="2"/>
        <v>50000</v>
      </c>
      <c r="K95" s="13">
        <v>1.6400000000000001E-2</v>
      </c>
      <c r="L95" s="13">
        <v>1.65</v>
      </c>
      <c r="M95" s="18">
        <f t="shared" si="3"/>
        <v>82500</v>
      </c>
      <c r="N95" s="18">
        <f t="shared" si="4"/>
        <v>82000</v>
      </c>
    </row>
    <row r="96" spans="2:14">
      <c r="B96" s="13">
        <f t="shared" ref="B96:B101" si="7">$F$13</f>
        <v>50000</v>
      </c>
      <c r="C96" s="13">
        <v>7.4999999999999997E-2</v>
      </c>
      <c r="D96" s="13">
        <v>7.5999999999999899</v>
      </c>
      <c r="E96" s="18">
        <f t="shared" si="6"/>
        <v>379999.99999999948</v>
      </c>
      <c r="F96" s="18">
        <f t="shared" si="5"/>
        <v>374999.99999999948</v>
      </c>
      <c r="J96" s="13">
        <f t="shared" ref="J96:J159" si="8">$F$13</f>
        <v>50000</v>
      </c>
      <c r="K96" s="13">
        <v>1.6500000000000001E-2</v>
      </c>
      <c r="L96" s="13">
        <v>1.66</v>
      </c>
      <c r="M96" s="18">
        <f t="shared" ref="M96:M159" si="9">J96*L96</f>
        <v>83000</v>
      </c>
      <c r="N96" s="18">
        <f t="shared" ref="N96:N159" si="10">M96-J96*0.01</f>
        <v>82500</v>
      </c>
    </row>
    <row r="97" spans="2:14">
      <c r="B97" s="13">
        <f t="shared" si="7"/>
        <v>50000</v>
      </c>
      <c r="C97" s="13">
        <v>7.5999999999999998E-2</v>
      </c>
      <c r="D97" s="13">
        <v>7.6999999999999904</v>
      </c>
      <c r="E97" s="18">
        <f t="shared" si="6"/>
        <v>384999.99999999953</v>
      </c>
      <c r="F97" s="18">
        <f>E97-B97*0.1</f>
        <v>379999.99999999953</v>
      </c>
      <c r="J97" s="13">
        <f t="shared" si="8"/>
        <v>50000</v>
      </c>
      <c r="K97" s="13">
        <v>1.66E-2</v>
      </c>
      <c r="L97" s="13">
        <v>1.67</v>
      </c>
      <c r="M97" s="18">
        <f t="shared" si="9"/>
        <v>83500</v>
      </c>
      <c r="N97" s="18">
        <f t="shared" si="10"/>
        <v>83000</v>
      </c>
    </row>
    <row r="98" spans="2:14">
      <c r="B98" s="13">
        <f t="shared" si="7"/>
        <v>50000</v>
      </c>
      <c r="C98" s="13">
        <v>7.6999999999999999E-2</v>
      </c>
      <c r="D98" s="13">
        <v>7.7999999999999901</v>
      </c>
      <c r="E98" s="18">
        <f t="shared" si="6"/>
        <v>389999.99999999948</v>
      </c>
      <c r="F98" s="18">
        <f>E98-B98*0.1</f>
        <v>384999.99999999948</v>
      </c>
      <c r="J98" s="13">
        <f t="shared" si="8"/>
        <v>50000</v>
      </c>
      <c r="K98" s="13">
        <v>1.67E-2</v>
      </c>
      <c r="L98" s="13">
        <v>1.68</v>
      </c>
      <c r="M98" s="18">
        <f t="shared" si="9"/>
        <v>84000</v>
      </c>
      <c r="N98" s="18">
        <f t="shared" si="10"/>
        <v>83500</v>
      </c>
    </row>
    <row r="99" spans="2:14">
      <c r="B99" s="13">
        <f t="shared" si="7"/>
        <v>50000</v>
      </c>
      <c r="C99" s="13">
        <v>7.8E-2</v>
      </c>
      <c r="D99" s="13">
        <v>7.8999999999999897</v>
      </c>
      <c r="E99" s="18">
        <f t="shared" si="6"/>
        <v>394999.99999999948</v>
      </c>
      <c r="F99" s="18">
        <f>E99-B99*0.1</f>
        <v>389999.99999999948</v>
      </c>
      <c r="J99" s="13">
        <f t="shared" si="8"/>
        <v>50000</v>
      </c>
      <c r="K99" s="13">
        <v>1.6799999999999999E-2</v>
      </c>
      <c r="L99" s="13">
        <v>1.69</v>
      </c>
      <c r="M99" s="18">
        <f t="shared" si="9"/>
        <v>84500</v>
      </c>
      <c r="N99" s="18">
        <f t="shared" si="10"/>
        <v>84000</v>
      </c>
    </row>
    <row r="100" spans="2:14">
      <c r="B100" s="13">
        <f t="shared" si="7"/>
        <v>50000</v>
      </c>
      <c r="C100" s="13">
        <v>7.9000000000000001E-2</v>
      </c>
      <c r="D100" s="13">
        <v>7.9999999999999902</v>
      </c>
      <c r="E100" s="18">
        <f t="shared" si="6"/>
        <v>399999.99999999953</v>
      </c>
      <c r="F100" s="18">
        <f>E100-B100*0.1</f>
        <v>394999.99999999953</v>
      </c>
      <c r="J100" s="13">
        <f t="shared" si="8"/>
        <v>50000</v>
      </c>
      <c r="K100" s="13">
        <v>1.6899999999999998E-2</v>
      </c>
      <c r="L100" s="13">
        <v>1.7</v>
      </c>
      <c r="M100" s="18">
        <f t="shared" si="9"/>
        <v>85000</v>
      </c>
      <c r="N100" s="18">
        <f t="shared" si="10"/>
        <v>84500</v>
      </c>
    </row>
    <row r="101" spans="2:14">
      <c r="B101" s="13">
        <f t="shared" si="7"/>
        <v>50000</v>
      </c>
      <c r="C101" s="13">
        <v>0.08</v>
      </c>
      <c r="D101" s="13">
        <v>8.0999999999999908</v>
      </c>
      <c r="E101" s="18">
        <f t="shared" si="6"/>
        <v>404999.99999999953</v>
      </c>
      <c r="F101" s="18">
        <f>E101-B101*0.1</f>
        <v>399999.99999999953</v>
      </c>
      <c r="J101" s="13">
        <f t="shared" si="8"/>
        <v>50000</v>
      </c>
      <c r="K101" s="13">
        <v>1.7000000000000001E-2</v>
      </c>
      <c r="L101" s="13">
        <v>1.71</v>
      </c>
      <c r="M101" s="18">
        <f t="shared" si="9"/>
        <v>85500</v>
      </c>
      <c r="N101" s="18">
        <f t="shared" si="10"/>
        <v>85000</v>
      </c>
    </row>
    <row r="102" spans="2:14">
      <c r="J102" s="13">
        <f t="shared" si="8"/>
        <v>50000</v>
      </c>
      <c r="K102" s="13">
        <v>1.7100000000000001E-2</v>
      </c>
      <c r="L102" s="13">
        <v>1.72</v>
      </c>
      <c r="M102" s="18">
        <f t="shared" si="9"/>
        <v>86000</v>
      </c>
      <c r="N102" s="18">
        <f t="shared" si="10"/>
        <v>85500</v>
      </c>
    </row>
    <row r="103" spans="2:14">
      <c r="J103" s="13">
        <f t="shared" si="8"/>
        <v>50000</v>
      </c>
      <c r="K103" s="13">
        <v>1.72E-2</v>
      </c>
      <c r="L103" s="13">
        <v>1.73</v>
      </c>
      <c r="M103" s="18">
        <f t="shared" si="9"/>
        <v>86500</v>
      </c>
      <c r="N103" s="18">
        <f t="shared" si="10"/>
        <v>86000</v>
      </c>
    </row>
    <row r="104" spans="2:14">
      <c r="J104" s="13">
        <f t="shared" si="8"/>
        <v>50000</v>
      </c>
      <c r="K104" s="13">
        <v>1.7299999999999999E-2</v>
      </c>
      <c r="L104" s="13">
        <v>1.74</v>
      </c>
      <c r="M104" s="18">
        <f t="shared" si="9"/>
        <v>87000</v>
      </c>
      <c r="N104" s="18">
        <f t="shared" si="10"/>
        <v>86500</v>
      </c>
    </row>
    <row r="105" spans="2:14">
      <c r="J105" s="13">
        <f t="shared" si="8"/>
        <v>50000</v>
      </c>
      <c r="K105" s="13">
        <v>1.7399999999999999E-2</v>
      </c>
      <c r="L105" s="13">
        <v>1.75</v>
      </c>
      <c r="M105" s="18">
        <f t="shared" si="9"/>
        <v>87500</v>
      </c>
      <c r="N105" s="18">
        <f t="shared" si="10"/>
        <v>87000</v>
      </c>
    </row>
    <row r="106" spans="2:14">
      <c r="J106" s="13">
        <f t="shared" si="8"/>
        <v>50000</v>
      </c>
      <c r="K106" s="13">
        <v>1.7499999999999901E-2</v>
      </c>
      <c r="L106" s="13">
        <v>1.76</v>
      </c>
      <c r="M106" s="18">
        <f t="shared" si="9"/>
        <v>88000</v>
      </c>
      <c r="N106" s="18">
        <f t="shared" si="10"/>
        <v>87500</v>
      </c>
    </row>
    <row r="107" spans="2:14">
      <c r="J107" s="13">
        <f t="shared" si="8"/>
        <v>50000</v>
      </c>
      <c r="K107" s="13">
        <v>1.75999999999999E-2</v>
      </c>
      <c r="L107" s="13">
        <v>1.77</v>
      </c>
      <c r="M107" s="18">
        <f t="shared" si="9"/>
        <v>88500</v>
      </c>
      <c r="N107" s="18">
        <f t="shared" si="10"/>
        <v>88000</v>
      </c>
    </row>
    <row r="108" spans="2:14">
      <c r="J108" s="13">
        <f t="shared" si="8"/>
        <v>50000</v>
      </c>
      <c r="K108" s="13">
        <v>1.77E-2</v>
      </c>
      <c r="L108" s="13">
        <v>1.78</v>
      </c>
      <c r="M108" s="18">
        <f t="shared" si="9"/>
        <v>89000</v>
      </c>
      <c r="N108" s="18">
        <f t="shared" si="10"/>
        <v>88500</v>
      </c>
    </row>
    <row r="109" spans="2:14">
      <c r="J109" s="13">
        <f t="shared" si="8"/>
        <v>50000</v>
      </c>
      <c r="K109" s="13">
        <v>1.78E-2</v>
      </c>
      <c r="L109" s="13">
        <v>1.79</v>
      </c>
      <c r="M109" s="18">
        <f t="shared" si="9"/>
        <v>89500</v>
      </c>
      <c r="N109" s="18">
        <f t="shared" si="10"/>
        <v>89000</v>
      </c>
    </row>
    <row r="110" spans="2:14">
      <c r="J110" s="13">
        <f t="shared" si="8"/>
        <v>50000</v>
      </c>
      <c r="K110" s="13">
        <v>1.7899999999999999E-2</v>
      </c>
      <c r="L110" s="13">
        <v>1.8</v>
      </c>
      <c r="M110" s="18">
        <f t="shared" si="9"/>
        <v>90000</v>
      </c>
      <c r="N110" s="18">
        <f t="shared" si="10"/>
        <v>89500</v>
      </c>
    </row>
    <row r="111" spans="2:14">
      <c r="J111" s="13">
        <f t="shared" si="8"/>
        <v>50000</v>
      </c>
      <c r="K111" s="13">
        <v>1.7999999999999999E-2</v>
      </c>
      <c r="L111" s="13">
        <v>1.81</v>
      </c>
      <c r="M111" s="18">
        <f t="shared" si="9"/>
        <v>90500</v>
      </c>
      <c r="N111" s="18">
        <f t="shared" si="10"/>
        <v>90000</v>
      </c>
    </row>
    <row r="112" spans="2:14">
      <c r="J112" s="13">
        <f t="shared" si="8"/>
        <v>50000</v>
      </c>
      <c r="K112" s="13">
        <v>1.8099999999999901E-2</v>
      </c>
      <c r="L112" s="13">
        <v>1.82</v>
      </c>
      <c r="M112" s="18">
        <f t="shared" si="9"/>
        <v>91000</v>
      </c>
      <c r="N112" s="18">
        <f t="shared" si="10"/>
        <v>90500</v>
      </c>
    </row>
    <row r="113" spans="10:14">
      <c r="J113" s="13">
        <f t="shared" si="8"/>
        <v>50000</v>
      </c>
      <c r="K113" s="13">
        <v>1.8200000000000001E-2</v>
      </c>
      <c r="L113" s="13">
        <v>1.83</v>
      </c>
      <c r="M113" s="18">
        <f t="shared" si="9"/>
        <v>91500</v>
      </c>
      <c r="N113" s="18">
        <f t="shared" si="10"/>
        <v>91000</v>
      </c>
    </row>
    <row r="114" spans="10:14">
      <c r="J114" s="13">
        <f t="shared" si="8"/>
        <v>50000</v>
      </c>
      <c r="K114" s="13">
        <v>1.82999999999999E-2</v>
      </c>
      <c r="L114" s="13">
        <v>1.84</v>
      </c>
      <c r="M114" s="18">
        <f t="shared" si="9"/>
        <v>92000</v>
      </c>
      <c r="N114" s="18">
        <f t="shared" si="10"/>
        <v>91500</v>
      </c>
    </row>
    <row r="115" spans="10:14">
      <c r="J115" s="13">
        <f t="shared" si="8"/>
        <v>50000</v>
      </c>
      <c r="K115" s="13">
        <v>1.84E-2</v>
      </c>
      <c r="L115" s="13">
        <v>1.85</v>
      </c>
      <c r="M115" s="18">
        <f t="shared" si="9"/>
        <v>92500</v>
      </c>
      <c r="N115" s="18">
        <f t="shared" si="10"/>
        <v>92000</v>
      </c>
    </row>
    <row r="116" spans="10:14">
      <c r="J116" s="13">
        <f t="shared" si="8"/>
        <v>50000</v>
      </c>
      <c r="K116" s="13">
        <v>1.8499999999999999E-2</v>
      </c>
      <c r="L116" s="13">
        <v>1.86</v>
      </c>
      <c r="M116" s="18">
        <f t="shared" si="9"/>
        <v>93000</v>
      </c>
      <c r="N116" s="18">
        <f t="shared" si="10"/>
        <v>92500</v>
      </c>
    </row>
    <row r="117" spans="10:14">
      <c r="J117" s="13">
        <f t="shared" si="8"/>
        <v>50000</v>
      </c>
      <c r="K117" s="13">
        <v>1.8599999999999901E-2</v>
      </c>
      <c r="L117" s="13">
        <v>1.87</v>
      </c>
      <c r="M117" s="18">
        <f t="shared" si="9"/>
        <v>93500</v>
      </c>
      <c r="N117" s="18">
        <f t="shared" si="10"/>
        <v>93000</v>
      </c>
    </row>
    <row r="118" spans="10:14">
      <c r="J118" s="13">
        <f t="shared" si="8"/>
        <v>50000</v>
      </c>
      <c r="K118" s="13">
        <v>1.8700000000000001E-2</v>
      </c>
      <c r="L118" s="13">
        <v>1.88</v>
      </c>
      <c r="M118" s="18">
        <f t="shared" si="9"/>
        <v>94000</v>
      </c>
      <c r="N118" s="18">
        <f t="shared" si="10"/>
        <v>93500</v>
      </c>
    </row>
    <row r="119" spans="10:14">
      <c r="J119" s="13">
        <f t="shared" si="8"/>
        <v>50000</v>
      </c>
      <c r="K119" s="13">
        <v>1.87999999999999E-2</v>
      </c>
      <c r="L119" s="13">
        <v>1.89</v>
      </c>
      <c r="M119" s="18">
        <f t="shared" si="9"/>
        <v>94500</v>
      </c>
      <c r="N119" s="18">
        <f t="shared" si="10"/>
        <v>94000</v>
      </c>
    </row>
    <row r="120" spans="10:14">
      <c r="J120" s="13">
        <f t="shared" si="8"/>
        <v>50000</v>
      </c>
      <c r="K120" s="13">
        <v>1.89E-2</v>
      </c>
      <c r="L120" s="13">
        <v>1.9</v>
      </c>
      <c r="M120" s="18">
        <f t="shared" si="9"/>
        <v>95000</v>
      </c>
      <c r="N120" s="18">
        <f t="shared" si="10"/>
        <v>94500</v>
      </c>
    </row>
    <row r="121" spans="10:14">
      <c r="J121" s="13">
        <f t="shared" si="8"/>
        <v>50000</v>
      </c>
      <c r="K121" s="13">
        <v>1.9E-2</v>
      </c>
      <c r="L121" s="13">
        <v>1.91</v>
      </c>
      <c r="M121" s="18">
        <f t="shared" si="9"/>
        <v>95500</v>
      </c>
      <c r="N121" s="18">
        <f t="shared" si="10"/>
        <v>95000</v>
      </c>
    </row>
    <row r="122" spans="10:14">
      <c r="J122" s="13">
        <f t="shared" si="8"/>
        <v>50000</v>
      </c>
      <c r="K122" s="13">
        <v>1.9099999999999898E-2</v>
      </c>
      <c r="L122" s="13">
        <v>1.92</v>
      </c>
      <c r="M122" s="18">
        <f t="shared" si="9"/>
        <v>96000</v>
      </c>
      <c r="N122" s="18">
        <f t="shared" si="10"/>
        <v>95500</v>
      </c>
    </row>
    <row r="123" spans="10:14">
      <c r="J123" s="13">
        <f t="shared" si="8"/>
        <v>50000</v>
      </c>
      <c r="K123" s="13">
        <v>1.9199999999999901E-2</v>
      </c>
      <c r="L123" s="13">
        <v>1.93</v>
      </c>
      <c r="M123" s="18">
        <f t="shared" si="9"/>
        <v>96500</v>
      </c>
      <c r="N123" s="18">
        <f t="shared" si="10"/>
        <v>96000</v>
      </c>
    </row>
    <row r="124" spans="10:14">
      <c r="J124" s="13">
        <f t="shared" si="8"/>
        <v>50000</v>
      </c>
      <c r="K124" s="13">
        <v>1.9299999999999901E-2</v>
      </c>
      <c r="L124" s="13">
        <v>1.94</v>
      </c>
      <c r="M124" s="18">
        <f t="shared" si="9"/>
        <v>97000</v>
      </c>
      <c r="N124" s="18">
        <f t="shared" si="10"/>
        <v>96500</v>
      </c>
    </row>
    <row r="125" spans="10:14">
      <c r="J125" s="13">
        <f t="shared" si="8"/>
        <v>50000</v>
      </c>
      <c r="K125" s="13">
        <v>1.93999999999999E-2</v>
      </c>
      <c r="L125" s="13">
        <v>1.95</v>
      </c>
      <c r="M125" s="18">
        <f t="shared" si="9"/>
        <v>97500</v>
      </c>
      <c r="N125" s="18">
        <f t="shared" si="10"/>
        <v>97000</v>
      </c>
    </row>
    <row r="126" spans="10:14">
      <c r="J126" s="13">
        <f t="shared" si="8"/>
        <v>50000</v>
      </c>
      <c r="K126" s="13">
        <v>1.9499999999999899E-2</v>
      </c>
      <c r="L126" s="13">
        <v>1.96</v>
      </c>
      <c r="M126" s="18">
        <f t="shared" si="9"/>
        <v>98000</v>
      </c>
      <c r="N126" s="18">
        <f t="shared" si="10"/>
        <v>97500</v>
      </c>
    </row>
    <row r="127" spans="10:14">
      <c r="J127" s="13">
        <f t="shared" si="8"/>
        <v>50000</v>
      </c>
      <c r="K127" s="13">
        <v>1.9599999999999899E-2</v>
      </c>
      <c r="L127" s="13">
        <v>1.97</v>
      </c>
      <c r="M127" s="18">
        <f t="shared" si="9"/>
        <v>98500</v>
      </c>
      <c r="N127" s="18">
        <f t="shared" si="10"/>
        <v>98000</v>
      </c>
    </row>
    <row r="128" spans="10:14">
      <c r="J128" s="13">
        <f t="shared" si="8"/>
        <v>50000</v>
      </c>
      <c r="K128" s="13">
        <v>1.9699999999999902E-2</v>
      </c>
      <c r="L128" s="13">
        <v>1.98</v>
      </c>
      <c r="M128" s="18">
        <f t="shared" si="9"/>
        <v>99000</v>
      </c>
      <c r="N128" s="18">
        <f t="shared" si="10"/>
        <v>98500</v>
      </c>
    </row>
    <row r="129" spans="10:14">
      <c r="J129" s="13">
        <f t="shared" si="8"/>
        <v>50000</v>
      </c>
      <c r="K129" s="13">
        <v>1.9799999999999901E-2</v>
      </c>
      <c r="L129" s="13">
        <v>1.99</v>
      </c>
      <c r="M129" s="18">
        <f t="shared" si="9"/>
        <v>99500</v>
      </c>
      <c r="N129" s="18">
        <f t="shared" si="10"/>
        <v>99000</v>
      </c>
    </row>
    <row r="130" spans="10:14">
      <c r="J130" s="13">
        <f t="shared" si="8"/>
        <v>50000</v>
      </c>
      <c r="K130" s="13">
        <v>1.98999999999999E-2</v>
      </c>
      <c r="L130" s="13">
        <v>2</v>
      </c>
      <c r="M130" s="18">
        <f t="shared" si="9"/>
        <v>100000</v>
      </c>
      <c r="N130" s="18">
        <f t="shared" si="10"/>
        <v>99500</v>
      </c>
    </row>
    <row r="131" spans="10:14">
      <c r="J131" s="13">
        <f t="shared" si="8"/>
        <v>50000</v>
      </c>
      <c r="K131" s="13">
        <v>1.99999999999999E-2</v>
      </c>
      <c r="L131" s="13">
        <v>2.0099999999999998</v>
      </c>
      <c r="M131" s="18">
        <f t="shared" si="9"/>
        <v>100499.99999999999</v>
      </c>
      <c r="N131" s="18">
        <f t="shared" si="10"/>
        <v>99999.999999999985</v>
      </c>
    </row>
    <row r="132" spans="10:14">
      <c r="J132" s="13">
        <f t="shared" si="8"/>
        <v>50000</v>
      </c>
      <c r="K132" s="13">
        <v>2.0099999999999899E-2</v>
      </c>
      <c r="L132" s="13">
        <v>2.02</v>
      </c>
      <c r="M132" s="18">
        <f t="shared" si="9"/>
        <v>101000</v>
      </c>
      <c r="N132" s="18">
        <f t="shared" si="10"/>
        <v>100500</v>
      </c>
    </row>
    <row r="133" spans="10:14">
      <c r="J133" s="13">
        <f t="shared" si="8"/>
        <v>50000</v>
      </c>
      <c r="K133" s="13">
        <v>2.0199999999999899E-2</v>
      </c>
      <c r="L133" s="13">
        <v>2.0299999999999998</v>
      </c>
      <c r="M133" s="18">
        <f t="shared" si="9"/>
        <v>101499.99999999999</v>
      </c>
      <c r="N133" s="18">
        <f t="shared" si="10"/>
        <v>100999.99999999999</v>
      </c>
    </row>
    <row r="134" spans="10:14">
      <c r="J134" s="13">
        <f t="shared" si="8"/>
        <v>50000</v>
      </c>
      <c r="K134" s="13">
        <v>2.0299999999999901E-2</v>
      </c>
      <c r="L134" s="13">
        <v>2.04</v>
      </c>
      <c r="M134" s="18">
        <f t="shared" si="9"/>
        <v>102000</v>
      </c>
      <c r="N134" s="18">
        <f t="shared" si="10"/>
        <v>101500</v>
      </c>
    </row>
    <row r="135" spans="10:14">
      <c r="J135" s="13">
        <f t="shared" si="8"/>
        <v>50000</v>
      </c>
      <c r="K135" s="13">
        <v>2.0399999999999901E-2</v>
      </c>
      <c r="L135" s="13">
        <v>2.0499999999999998</v>
      </c>
      <c r="M135" s="18">
        <f t="shared" si="9"/>
        <v>102499.99999999999</v>
      </c>
      <c r="N135" s="18">
        <f t="shared" si="10"/>
        <v>101999.99999999999</v>
      </c>
    </row>
    <row r="136" spans="10:14">
      <c r="J136" s="13">
        <f t="shared" si="8"/>
        <v>50000</v>
      </c>
      <c r="K136" s="13">
        <v>2.04999999999999E-2</v>
      </c>
      <c r="L136" s="13">
        <v>2.06</v>
      </c>
      <c r="M136" s="18">
        <f t="shared" si="9"/>
        <v>103000</v>
      </c>
      <c r="N136" s="18">
        <f t="shared" si="10"/>
        <v>102500</v>
      </c>
    </row>
    <row r="137" spans="10:14">
      <c r="J137" s="13">
        <f t="shared" si="8"/>
        <v>50000</v>
      </c>
      <c r="K137" s="13">
        <v>2.05999999999999E-2</v>
      </c>
      <c r="L137" s="13">
        <v>2.0699999999999998</v>
      </c>
      <c r="M137" s="18">
        <f t="shared" si="9"/>
        <v>103499.99999999999</v>
      </c>
      <c r="N137" s="18">
        <f t="shared" si="10"/>
        <v>102999.99999999999</v>
      </c>
    </row>
    <row r="138" spans="10:14">
      <c r="J138" s="13">
        <f t="shared" si="8"/>
        <v>50000</v>
      </c>
      <c r="K138" s="13">
        <v>2.0699999999999899E-2</v>
      </c>
      <c r="L138" s="13">
        <v>2.08</v>
      </c>
      <c r="M138" s="18">
        <f t="shared" si="9"/>
        <v>104000</v>
      </c>
      <c r="N138" s="18">
        <f t="shared" si="10"/>
        <v>103500</v>
      </c>
    </row>
    <row r="139" spans="10:14">
      <c r="J139" s="13">
        <f t="shared" si="8"/>
        <v>50000</v>
      </c>
      <c r="K139" s="13">
        <v>2.0799999999999898E-2</v>
      </c>
      <c r="L139" s="13">
        <v>2.09</v>
      </c>
      <c r="M139" s="18">
        <f t="shared" si="9"/>
        <v>104500</v>
      </c>
      <c r="N139" s="18">
        <f t="shared" si="10"/>
        <v>104000</v>
      </c>
    </row>
    <row r="140" spans="10:14">
      <c r="J140" s="13">
        <f t="shared" si="8"/>
        <v>50000</v>
      </c>
      <c r="K140" s="13">
        <v>2.0899999999999901E-2</v>
      </c>
      <c r="L140" s="13">
        <v>2.1</v>
      </c>
      <c r="M140" s="18">
        <f t="shared" si="9"/>
        <v>105000</v>
      </c>
      <c r="N140" s="18">
        <f t="shared" si="10"/>
        <v>104500</v>
      </c>
    </row>
    <row r="141" spans="10:14">
      <c r="J141" s="13">
        <f t="shared" si="8"/>
        <v>50000</v>
      </c>
      <c r="K141" s="13">
        <v>2.0999999999999901E-2</v>
      </c>
      <c r="L141" s="13">
        <v>2.11</v>
      </c>
      <c r="M141" s="18">
        <f t="shared" si="9"/>
        <v>105500</v>
      </c>
      <c r="N141" s="18">
        <f t="shared" si="10"/>
        <v>105000</v>
      </c>
    </row>
    <row r="142" spans="10:14">
      <c r="J142" s="13">
        <f t="shared" si="8"/>
        <v>50000</v>
      </c>
      <c r="K142" s="13">
        <v>2.10999999999999E-2</v>
      </c>
      <c r="L142" s="13">
        <v>2.12</v>
      </c>
      <c r="M142" s="18">
        <f t="shared" si="9"/>
        <v>106000</v>
      </c>
      <c r="N142" s="18">
        <f t="shared" si="10"/>
        <v>105500</v>
      </c>
    </row>
    <row r="143" spans="10:14">
      <c r="J143" s="13">
        <f t="shared" si="8"/>
        <v>50000</v>
      </c>
      <c r="K143" s="13">
        <v>2.1199999999999899E-2</v>
      </c>
      <c r="L143" s="13">
        <v>2.13</v>
      </c>
      <c r="M143" s="18">
        <f t="shared" si="9"/>
        <v>106500</v>
      </c>
      <c r="N143" s="18">
        <f t="shared" si="10"/>
        <v>106000</v>
      </c>
    </row>
    <row r="144" spans="10:14">
      <c r="J144" s="13">
        <f t="shared" si="8"/>
        <v>50000</v>
      </c>
      <c r="K144" s="13">
        <v>2.1299999999999899E-2</v>
      </c>
      <c r="L144" s="13">
        <v>2.14</v>
      </c>
      <c r="M144" s="18">
        <f t="shared" si="9"/>
        <v>107000</v>
      </c>
      <c r="N144" s="18">
        <f t="shared" si="10"/>
        <v>106500</v>
      </c>
    </row>
    <row r="145" spans="10:14">
      <c r="J145" s="13">
        <f t="shared" si="8"/>
        <v>50000</v>
      </c>
      <c r="K145" s="13">
        <v>2.1399999999999898E-2</v>
      </c>
      <c r="L145" s="13">
        <v>2.15</v>
      </c>
      <c r="M145" s="18">
        <f t="shared" si="9"/>
        <v>107500</v>
      </c>
      <c r="N145" s="18">
        <f t="shared" si="10"/>
        <v>107000</v>
      </c>
    </row>
    <row r="146" spans="10:14">
      <c r="J146" s="13">
        <f t="shared" si="8"/>
        <v>50000</v>
      </c>
      <c r="K146" s="13">
        <v>2.1499999999999901E-2</v>
      </c>
      <c r="L146" s="13">
        <v>2.16</v>
      </c>
      <c r="M146" s="18">
        <f t="shared" si="9"/>
        <v>108000</v>
      </c>
      <c r="N146" s="18">
        <f t="shared" si="10"/>
        <v>107500</v>
      </c>
    </row>
    <row r="147" spans="10:14">
      <c r="J147" s="13">
        <f t="shared" si="8"/>
        <v>50000</v>
      </c>
      <c r="K147" s="13">
        <v>2.1599999999999901E-2</v>
      </c>
      <c r="L147" s="13">
        <v>2.17</v>
      </c>
      <c r="M147" s="18">
        <f t="shared" si="9"/>
        <v>108500</v>
      </c>
      <c r="N147" s="18">
        <f t="shared" si="10"/>
        <v>108000</v>
      </c>
    </row>
    <row r="148" spans="10:14">
      <c r="J148" s="13">
        <f t="shared" si="8"/>
        <v>50000</v>
      </c>
      <c r="K148" s="13">
        <v>2.16999999999999E-2</v>
      </c>
      <c r="L148" s="13">
        <v>2.1800000000000002</v>
      </c>
      <c r="M148" s="18">
        <f t="shared" si="9"/>
        <v>109000.00000000001</v>
      </c>
      <c r="N148" s="18">
        <f t="shared" si="10"/>
        <v>108500.00000000001</v>
      </c>
    </row>
    <row r="149" spans="10:14">
      <c r="J149" s="13">
        <f t="shared" si="8"/>
        <v>50000</v>
      </c>
      <c r="K149" s="13">
        <v>2.1799999999999899E-2</v>
      </c>
      <c r="L149" s="13">
        <v>2.19</v>
      </c>
      <c r="M149" s="18">
        <f t="shared" si="9"/>
        <v>109500</v>
      </c>
      <c r="N149" s="18">
        <f t="shared" si="10"/>
        <v>109000</v>
      </c>
    </row>
    <row r="150" spans="10:14">
      <c r="J150" s="13">
        <f t="shared" si="8"/>
        <v>50000</v>
      </c>
      <c r="K150" s="13">
        <v>2.1899999999999899E-2</v>
      </c>
      <c r="L150" s="13">
        <v>2.2000000000000002</v>
      </c>
      <c r="M150" s="18">
        <f t="shared" si="9"/>
        <v>110000.00000000001</v>
      </c>
      <c r="N150" s="18">
        <f t="shared" si="10"/>
        <v>109500.00000000001</v>
      </c>
    </row>
    <row r="151" spans="10:14">
      <c r="J151" s="13">
        <f t="shared" si="8"/>
        <v>50000</v>
      </c>
      <c r="K151" s="13">
        <v>2.1999999999999902E-2</v>
      </c>
      <c r="L151" s="13">
        <v>2.21</v>
      </c>
      <c r="M151" s="18">
        <f t="shared" si="9"/>
        <v>110500</v>
      </c>
      <c r="N151" s="18">
        <f t="shared" si="10"/>
        <v>110000</v>
      </c>
    </row>
    <row r="152" spans="10:14">
      <c r="J152" s="13">
        <f t="shared" si="8"/>
        <v>50000</v>
      </c>
      <c r="K152" s="13">
        <v>2.2099999999999901E-2</v>
      </c>
      <c r="L152" s="13">
        <v>2.2200000000000002</v>
      </c>
      <c r="M152" s="18">
        <f t="shared" si="9"/>
        <v>111000.00000000001</v>
      </c>
      <c r="N152" s="18">
        <f t="shared" si="10"/>
        <v>110500.00000000001</v>
      </c>
    </row>
    <row r="153" spans="10:14">
      <c r="J153" s="13">
        <f t="shared" si="8"/>
        <v>50000</v>
      </c>
      <c r="K153" s="13">
        <v>2.21999999999999E-2</v>
      </c>
      <c r="L153" s="13">
        <v>2.23</v>
      </c>
      <c r="M153" s="18">
        <f t="shared" si="9"/>
        <v>111500</v>
      </c>
      <c r="N153" s="18">
        <f t="shared" si="10"/>
        <v>111000</v>
      </c>
    </row>
    <row r="154" spans="10:14">
      <c r="J154" s="13">
        <f t="shared" si="8"/>
        <v>50000</v>
      </c>
      <c r="K154" s="13">
        <v>2.22999999999999E-2</v>
      </c>
      <c r="L154" s="13">
        <v>2.2400000000000002</v>
      </c>
      <c r="M154" s="18">
        <f t="shared" si="9"/>
        <v>112000.00000000001</v>
      </c>
      <c r="N154" s="18">
        <f t="shared" si="10"/>
        <v>111500.00000000001</v>
      </c>
    </row>
    <row r="155" spans="10:14">
      <c r="J155" s="13">
        <f t="shared" si="8"/>
        <v>50000</v>
      </c>
      <c r="K155" s="13">
        <v>2.2399999999999899E-2</v>
      </c>
      <c r="L155" s="13">
        <v>2.25</v>
      </c>
      <c r="M155" s="18">
        <f t="shared" si="9"/>
        <v>112500</v>
      </c>
      <c r="N155" s="18">
        <f t="shared" si="10"/>
        <v>112000</v>
      </c>
    </row>
    <row r="156" spans="10:14">
      <c r="J156" s="13">
        <f t="shared" si="8"/>
        <v>50000</v>
      </c>
      <c r="K156" s="13">
        <v>2.2499999999999899E-2</v>
      </c>
      <c r="L156" s="13">
        <v>2.2599999999999998</v>
      </c>
      <c r="M156" s="18">
        <f t="shared" si="9"/>
        <v>112999.99999999999</v>
      </c>
      <c r="N156" s="18">
        <f t="shared" si="10"/>
        <v>112499.99999999999</v>
      </c>
    </row>
    <row r="157" spans="10:14">
      <c r="J157" s="13">
        <f t="shared" si="8"/>
        <v>50000</v>
      </c>
      <c r="K157" s="13">
        <v>2.2599999999999901E-2</v>
      </c>
      <c r="L157" s="13">
        <v>2.27</v>
      </c>
      <c r="M157" s="18">
        <f t="shared" si="9"/>
        <v>113500</v>
      </c>
      <c r="N157" s="18">
        <f t="shared" si="10"/>
        <v>113000</v>
      </c>
    </row>
    <row r="158" spans="10:14">
      <c r="J158" s="13">
        <f t="shared" si="8"/>
        <v>50000</v>
      </c>
      <c r="K158" s="13">
        <v>2.2699999999999901E-2</v>
      </c>
      <c r="L158" s="13">
        <v>2.2799999999999998</v>
      </c>
      <c r="M158" s="18">
        <f t="shared" si="9"/>
        <v>113999.99999999999</v>
      </c>
      <c r="N158" s="18">
        <f t="shared" si="10"/>
        <v>113499.99999999999</v>
      </c>
    </row>
    <row r="159" spans="10:14">
      <c r="J159" s="13">
        <f t="shared" si="8"/>
        <v>50000</v>
      </c>
      <c r="K159" s="13">
        <v>2.2800000000000001E-2</v>
      </c>
      <c r="L159" s="13">
        <v>2.29</v>
      </c>
      <c r="M159" s="18">
        <f t="shared" si="9"/>
        <v>114500</v>
      </c>
      <c r="N159" s="18">
        <f t="shared" si="10"/>
        <v>114000</v>
      </c>
    </row>
    <row r="160" spans="10:14">
      <c r="J160" s="13">
        <f t="shared" ref="J160:J223" si="11">$F$13</f>
        <v>50000</v>
      </c>
      <c r="K160" s="13">
        <v>2.29E-2</v>
      </c>
      <c r="L160" s="13">
        <v>2.2999999999999998</v>
      </c>
      <c r="M160" s="18">
        <f t="shared" ref="M160:M223" si="12">J160*L160</f>
        <v>114999.99999999999</v>
      </c>
      <c r="N160" s="18">
        <f t="shared" ref="N160:N223" si="13">M160-J160*0.01</f>
        <v>114499.99999999999</v>
      </c>
    </row>
    <row r="161" spans="10:14">
      <c r="J161" s="13">
        <f t="shared" si="11"/>
        <v>50000</v>
      </c>
      <c r="K161" s="13">
        <v>2.3E-2</v>
      </c>
      <c r="L161" s="13">
        <v>2.31</v>
      </c>
      <c r="M161" s="18">
        <f t="shared" si="12"/>
        <v>115500</v>
      </c>
      <c r="N161" s="18">
        <f t="shared" si="13"/>
        <v>115000</v>
      </c>
    </row>
    <row r="162" spans="10:14">
      <c r="J162" s="13">
        <f t="shared" si="11"/>
        <v>50000</v>
      </c>
      <c r="K162" s="13">
        <v>2.3099999999999999E-2</v>
      </c>
      <c r="L162" s="13">
        <v>2.3199999999999998</v>
      </c>
      <c r="M162" s="18">
        <f t="shared" si="12"/>
        <v>115999.99999999999</v>
      </c>
      <c r="N162" s="18">
        <f t="shared" si="13"/>
        <v>115499.99999999999</v>
      </c>
    </row>
    <row r="163" spans="10:14">
      <c r="J163" s="13">
        <f t="shared" si="11"/>
        <v>50000</v>
      </c>
      <c r="K163" s="13">
        <v>2.3199999999999998E-2</v>
      </c>
      <c r="L163" s="13">
        <v>2.3300000000000098</v>
      </c>
      <c r="M163" s="18">
        <f t="shared" si="12"/>
        <v>116500.00000000049</v>
      </c>
      <c r="N163" s="18">
        <f t="shared" si="13"/>
        <v>116000.00000000049</v>
      </c>
    </row>
    <row r="164" spans="10:14">
      <c r="J164" s="13">
        <f t="shared" si="11"/>
        <v>50000</v>
      </c>
      <c r="K164" s="13">
        <v>2.3300000000000001E-2</v>
      </c>
      <c r="L164" s="13">
        <v>2.3400000000000101</v>
      </c>
      <c r="M164" s="18">
        <f t="shared" si="12"/>
        <v>117000.00000000051</v>
      </c>
      <c r="N164" s="18">
        <f t="shared" si="13"/>
        <v>116500.00000000051</v>
      </c>
    </row>
    <row r="165" spans="10:14">
      <c r="J165" s="13">
        <f t="shared" si="11"/>
        <v>50000</v>
      </c>
      <c r="K165" s="13">
        <v>2.3400000000000001E-2</v>
      </c>
      <c r="L165" s="13">
        <v>2.3500000000000099</v>
      </c>
      <c r="M165" s="18">
        <f t="shared" si="12"/>
        <v>117500.00000000049</v>
      </c>
      <c r="N165" s="18">
        <f t="shared" si="13"/>
        <v>117000.00000000049</v>
      </c>
    </row>
    <row r="166" spans="10:14">
      <c r="J166" s="13">
        <f t="shared" si="11"/>
        <v>50000</v>
      </c>
      <c r="K166" s="13">
        <v>2.35E-2</v>
      </c>
      <c r="L166" s="13">
        <v>2.3600000000000101</v>
      </c>
      <c r="M166" s="18">
        <f t="shared" si="12"/>
        <v>118000.00000000051</v>
      </c>
      <c r="N166" s="18">
        <f t="shared" si="13"/>
        <v>117500.00000000051</v>
      </c>
    </row>
    <row r="167" spans="10:14">
      <c r="J167" s="13">
        <f t="shared" si="11"/>
        <v>50000</v>
      </c>
      <c r="K167" s="13">
        <v>2.3599999999999999E-2</v>
      </c>
      <c r="L167" s="13">
        <v>2.3700000000000099</v>
      </c>
      <c r="M167" s="18">
        <f t="shared" si="12"/>
        <v>118500.00000000049</v>
      </c>
      <c r="N167" s="18">
        <f t="shared" si="13"/>
        <v>118000.00000000049</v>
      </c>
    </row>
    <row r="168" spans="10:14">
      <c r="J168" s="13">
        <f t="shared" si="11"/>
        <v>50000</v>
      </c>
      <c r="K168" s="13">
        <v>2.3699999999999999E-2</v>
      </c>
      <c r="L168" s="13">
        <v>2.3800000000000101</v>
      </c>
      <c r="M168" s="18">
        <f t="shared" si="12"/>
        <v>119000.00000000051</v>
      </c>
      <c r="N168" s="18">
        <f t="shared" si="13"/>
        <v>118500.00000000051</v>
      </c>
    </row>
    <row r="169" spans="10:14">
      <c r="J169" s="13">
        <f t="shared" si="11"/>
        <v>50000</v>
      </c>
      <c r="K169" s="13">
        <v>2.3800000000000002E-2</v>
      </c>
      <c r="L169" s="13">
        <v>2.3900000000000099</v>
      </c>
      <c r="M169" s="18">
        <f t="shared" si="12"/>
        <v>119500.00000000049</v>
      </c>
      <c r="N169" s="18">
        <f t="shared" si="13"/>
        <v>119000.00000000049</v>
      </c>
    </row>
    <row r="170" spans="10:14">
      <c r="J170" s="13">
        <f t="shared" si="11"/>
        <v>50000</v>
      </c>
      <c r="K170" s="13">
        <v>2.3900000000000001E-2</v>
      </c>
      <c r="L170" s="13">
        <v>2.4000000000000101</v>
      </c>
      <c r="M170" s="18">
        <f t="shared" si="12"/>
        <v>120000.00000000051</v>
      </c>
      <c r="N170" s="18">
        <f t="shared" si="13"/>
        <v>119500.00000000051</v>
      </c>
    </row>
    <row r="171" spans="10:14">
      <c r="J171" s="13">
        <f t="shared" si="11"/>
        <v>50000</v>
      </c>
      <c r="K171" s="13">
        <v>2.4E-2</v>
      </c>
      <c r="L171" s="13">
        <v>2.4100000000000099</v>
      </c>
      <c r="M171" s="18">
        <f t="shared" si="12"/>
        <v>120500.00000000049</v>
      </c>
      <c r="N171" s="18">
        <f t="shared" si="13"/>
        <v>120000.00000000049</v>
      </c>
    </row>
    <row r="172" spans="10:14">
      <c r="J172" s="13">
        <f t="shared" si="11"/>
        <v>50000</v>
      </c>
      <c r="K172" s="13">
        <v>2.41E-2</v>
      </c>
      <c r="L172" s="13">
        <v>2.4200000000000101</v>
      </c>
      <c r="M172" s="18">
        <f t="shared" si="12"/>
        <v>121000.00000000051</v>
      </c>
      <c r="N172" s="18">
        <f t="shared" si="13"/>
        <v>120500.00000000051</v>
      </c>
    </row>
    <row r="173" spans="10:14">
      <c r="J173" s="13">
        <f t="shared" si="11"/>
        <v>50000</v>
      </c>
      <c r="K173" s="13">
        <v>2.4199999999999999E-2</v>
      </c>
      <c r="L173" s="13">
        <v>2.4300000000000099</v>
      </c>
      <c r="M173" s="18">
        <f t="shared" si="12"/>
        <v>121500.00000000049</v>
      </c>
      <c r="N173" s="18">
        <f t="shared" si="13"/>
        <v>121000.00000000049</v>
      </c>
    </row>
    <row r="174" spans="10:14">
      <c r="J174" s="13">
        <f t="shared" si="11"/>
        <v>50000</v>
      </c>
      <c r="K174" s="13">
        <v>2.4299999999999999E-2</v>
      </c>
      <c r="L174" s="13">
        <v>2.4400000000000102</v>
      </c>
      <c r="M174" s="18">
        <f t="shared" si="12"/>
        <v>122000.00000000051</v>
      </c>
      <c r="N174" s="18">
        <f t="shared" si="13"/>
        <v>121500.00000000051</v>
      </c>
    </row>
    <row r="175" spans="10:14">
      <c r="J175" s="13">
        <f t="shared" si="11"/>
        <v>50000</v>
      </c>
      <c r="K175" s="13">
        <v>2.4400000000000002E-2</v>
      </c>
      <c r="L175" s="13">
        <v>2.4500000000000099</v>
      </c>
      <c r="M175" s="18">
        <f t="shared" si="12"/>
        <v>122500.00000000049</v>
      </c>
      <c r="N175" s="18">
        <f t="shared" si="13"/>
        <v>122000.00000000049</v>
      </c>
    </row>
    <row r="176" spans="10:14">
      <c r="J176" s="13">
        <f t="shared" si="11"/>
        <v>50000</v>
      </c>
      <c r="K176" s="13">
        <v>2.4500000000000001E-2</v>
      </c>
      <c r="L176" s="13">
        <v>2.4600000000000102</v>
      </c>
      <c r="M176" s="18">
        <f t="shared" si="12"/>
        <v>123000.00000000051</v>
      </c>
      <c r="N176" s="18">
        <f t="shared" si="13"/>
        <v>122500.00000000051</v>
      </c>
    </row>
    <row r="177" spans="10:14">
      <c r="J177" s="13">
        <f t="shared" si="11"/>
        <v>50000</v>
      </c>
      <c r="K177" s="13">
        <v>2.46E-2</v>
      </c>
      <c r="L177" s="13">
        <v>2.47000000000001</v>
      </c>
      <c r="M177" s="18">
        <f t="shared" si="12"/>
        <v>123500.00000000049</v>
      </c>
      <c r="N177" s="18">
        <f t="shared" si="13"/>
        <v>123000.00000000049</v>
      </c>
    </row>
    <row r="178" spans="10:14">
      <c r="J178" s="13">
        <f t="shared" si="11"/>
        <v>50000</v>
      </c>
      <c r="K178" s="13">
        <v>2.47E-2</v>
      </c>
      <c r="L178" s="13">
        <v>2.4800000000000102</v>
      </c>
      <c r="M178" s="18">
        <f t="shared" si="12"/>
        <v>124000.00000000051</v>
      </c>
      <c r="N178" s="18">
        <f t="shared" si="13"/>
        <v>123500.00000000051</v>
      </c>
    </row>
    <row r="179" spans="10:14">
      <c r="J179" s="13">
        <f t="shared" si="11"/>
        <v>50000</v>
      </c>
      <c r="K179" s="13">
        <v>2.4799999999999999E-2</v>
      </c>
      <c r="L179" s="13">
        <v>2.49000000000001</v>
      </c>
      <c r="M179" s="18">
        <f t="shared" si="12"/>
        <v>124500.00000000049</v>
      </c>
      <c r="N179" s="18">
        <f t="shared" si="13"/>
        <v>124000.00000000049</v>
      </c>
    </row>
    <row r="180" spans="10:14">
      <c r="J180" s="13">
        <f t="shared" si="11"/>
        <v>50000</v>
      </c>
      <c r="K180" s="13">
        <v>2.4899999999999999E-2</v>
      </c>
      <c r="L180" s="13">
        <v>2.5000000000000102</v>
      </c>
      <c r="M180" s="18">
        <f t="shared" si="12"/>
        <v>125000.00000000051</v>
      </c>
      <c r="N180" s="18">
        <f t="shared" si="13"/>
        <v>124500.00000000051</v>
      </c>
    </row>
    <row r="181" spans="10:14">
      <c r="J181" s="13">
        <f t="shared" si="11"/>
        <v>50000</v>
      </c>
      <c r="K181" s="13">
        <v>2.5000000000000001E-2</v>
      </c>
      <c r="L181" s="13">
        <v>2.51000000000001</v>
      </c>
      <c r="M181" s="18">
        <f t="shared" si="12"/>
        <v>125500.00000000049</v>
      </c>
      <c r="N181" s="18">
        <f t="shared" si="13"/>
        <v>125000.00000000049</v>
      </c>
    </row>
    <row r="182" spans="10:14">
      <c r="J182" s="13">
        <f t="shared" si="11"/>
        <v>50000</v>
      </c>
      <c r="K182" s="13">
        <v>2.5100000000000001E-2</v>
      </c>
      <c r="L182" s="13">
        <v>2.5200000000000098</v>
      </c>
      <c r="M182" s="18">
        <f t="shared" si="12"/>
        <v>126000.00000000049</v>
      </c>
      <c r="N182" s="18">
        <f t="shared" si="13"/>
        <v>125500.00000000049</v>
      </c>
    </row>
    <row r="183" spans="10:14">
      <c r="J183" s="13">
        <f t="shared" si="11"/>
        <v>50000</v>
      </c>
      <c r="K183" s="13">
        <v>2.52E-2</v>
      </c>
      <c r="L183" s="13">
        <v>2.53000000000001</v>
      </c>
      <c r="M183" s="18">
        <f t="shared" si="12"/>
        <v>126500.00000000049</v>
      </c>
      <c r="N183" s="18">
        <f t="shared" si="13"/>
        <v>126000.00000000049</v>
      </c>
    </row>
    <row r="184" spans="10:14">
      <c r="J184" s="13">
        <f t="shared" si="11"/>
        <v>50000</v>
      </c>
      <c r="K184" s="13">
        <v>2.53E-2</v>
      </c>
      <c r="L184" s="13">
        <v>2.5400000000000098</v>
      </c>
      <c r="M184" s="18">
        <f t="shared" si="12"/>
        <v>127000.00000000049</v>
      </c>
      <c r="N184" s="18">
        <f t="shared" si="13"/>
        <v>126500.00000000049</v>
      </c>
    </row>
    <row r="185" spans="10:14">
      <c r="J185" s="13">
        <f t="shared" si="11"/>
        <v>50000</v>
      </c>
      <c r="K185" s="13">
        <v>2.5399999999999999E-2</v>
      </c>
      <c r="L185" s="13">
        <v>2.55000000000001</v>
      </c>
      <c r="M185" s="18">
        <f t="shared" si="12"/>
        <v>127500.00000000049</v>
      </c>
      <c r="N185" s="18">
        <f t="shared" si="13"/>
        <v>127000.00000000049</v>
      </c>
    </row>
    <row r="186" spans="10:14">
      <c r="J186" s="13">
        <f t="shared" si="11"/>
        <v>50000</v>
      </c>
      <c r="K186" s="13">
        <v>2.5499999999999998E-2</v>
      </c>
      <c r="L186" s="13">
        <v>2.5600000000000098</v>
      </c>
      <c r="M186" s="18">
        <f t="shared" si="12"/>
        <v>128000.00000000049</v>
      </c>
      <c r="N186" s="18">
        <f t="shared" si="13"/>
        <v>127500.00000000049</v>
      </c>
    </row>
    <row r="187" spans="10:14">
      <c r="J187" s="13">
        <f t="shared" si="11"/>
        <v>50000</v>
      </c>
      <c r="K187" s="13">
        <v>2.5600000000000001E-2</v>
      </c>
      <c r="L187" s="13">
        <v>2.5700000000000101</v>
      </c>
      <c r="M187" s="18">
        <f t="shared" si="12"/>
        <v>128500.00000000051</v>
      </c>
      <c r="N187" s="18">
        <f t="shared" si="13"/>
        <v>128000.00000000051</v>
      </c>
    </row>
    <row r="188" spans="10:14">
      <c r="J188" s="13">
        <f t="shared" si="11"/>
        <v>50000</v>
      </c>
      <c r="K188" s="13">
        <v>2.5700000000000001E-2</v>
      </c>
      <c r="L188" s="13">
        <v>2.5800000000000098</v>
      </c>
      <c r="M188" s="18">
        <f t="shared" si="12"/>
        <v>129000.00000000049</v>
      </c>
      <c r="N188" s="18">
        <f t="shared" si="13"/>
        <v>128500.00000000049</v>
      </c>
    </row>
    <row r="189" spans="10:14">
      <c r="J189" s="13">
        <f t="shared" si="11"/>
        <v>50000</v>
      </c>
      <c r="K189" s="13">
        <v>2.58E-2</v>
      </c>
      <c r="L189" s="13">
        <v>2.5900000000000101</v>
      </c>
      <c r="M189" s="18">
        <f t="shared" si="12"/>
        <v>129500.00000000051</v>
      </c>
      <c r="N189" s="18">
        <f t="shared" si="13"/>
        <v>129000.00000000051</v>
      </c>
    </row>
    <row r="190" spans="10:14">
      <c r="J190" s="13">
        <f t="shared" si="11"/>
        <v>50000</v>
      </c>
      <c r="K190" s="13">
        <v>2.5899999999999999E-2</v>
      </c>
      <c r="L190" s="13">
        <v>2.6000000000000099</v>
      </c>
      <c r="M190" s="18">
        <f t="shared" si="12"/>
        <v>130000.00000000049</v>
      </c>
      <c r="N190" s="18">
        <f t="shared" si="13"/>
        <v>129500.00000000049</v>
      </c>
    </row>
    <row r="191" spans="10:14">
      <c r="J191" s="13">
        <f t="shared" si="11"/>
        <v>50000</v>
      </c>
      <c r="K191" s="13">
        <v>2.5999999999999999E-2</v>
      </c>
      <c r="L191" s="13">
        <v>2.6100000000000101</v>
      </c>
      <c r="M191" s="18">
        <f t="shared" si="12"/>
        <v>130500.00000000051</v>
      </c>
      <c r="N191" s="18">
        <f t="shared" si="13"/>
        <v>130000.00000000051</v>
      </c>
    </row>
    <row r="192" spans="10:14">
      <c r="J192" s="13">
        <f t="shared" si="11"/>
        <v>50000</v>
      </c>
      <c r="K192" s="13">
        <v>2.6100000000000002E-2</v>
      </c>
      <c r="L192" s="13">
        <v>2.6200000000000099</v>
      </c>
      <c r="M192" s="18">
        <f t="shared" si="12"/>
        <v>131000.00000000049</v>
      </c>
      <c r="N192" s="18">
        <f t="shared" si="13"/>
        <v>130500.00000000049</v>
      </c>
    </row>
    <row r="193" spans="10:14">
      <c r="J193" s="13">
        <f t="shared" si="11"/>
        <v>50000</v>
      </c>
      <c r="K193" s="13">
        <v>2.6200000000000001E-2</v>
      </c>
      <c r="L193" s="13">
        <v>2.6300000000000101</v>
      </c>
      <c r="M193" s="18">
        <f t="shared" si="12"/>
        <v>131500.00000000049</v>
      </c>
      <c r="N193" s="18">
        <f t="shared" si="13"/>
        <v>131000.00000000049</v>
      </c>
    </row>
    <row r="194" spans="10:14">
      <c r="J194" s="13">
        <f t="shared" si="11"/>
        <v>50000</v>
      </c>
      <c r="K194" s="13">
        <v>2.6300000000000101E-2</v>
      </c>
      <c r="L194" s="13">
        <v>2.6400000000000099</v>
      </c>
      <c r="M194" s="18">
        <f t="shared" si="12"/>
        <v>132000.00000000049</v>
      </c>
      <c r="N194" s="18">
        <f t="shared" si="13"/>
        <v>131500.00000000049</v>
      </c>
    </row>
    <row r="195" spans="10:14">
      <c r="J195" s="13">
        <f t="shared" si="11"/>
        <v>50000</v>
      </c>
      <c r="K195" s="13">
        <v>2.64000000000001E-2</v>
      </c>
      <c r="L195" s="13">
        <v>2.6500000000000101</v>
      </c>
      <c r="M195" s="18">
        <f t="shared" si="12"/>
        <v>132500.00000000049</v>
      </c>
      <c r="N195" s="18">
        <f t="shared" si="13"/>
        <v>132000.00000000049</v>
      </c>
    </row>
    <row r="196" spans="10:14">
      <c r="J196" s="13">
        <f t="shared" si="11"/>
        <v>50000</v>
      </c>
      <c r="K196" s="13">
        <v>2.65000000000001E-2</v>
      </c>
      <c r="L196" s="13">
        <v>2.6600000000000099</v>
      </c>
      <c r="M196" s="18">
        <f t="shared" si="12"/>
        <v>133000.00000000049</v>
      </c>
      <c r="N196" s="18">
        <f t="shared" si="13"/>
        <v>132500.00000000049</v>
      </c>
    </row>
    <row r="197" spans="10:14">
      <c r="J197" s="13">
        <f t="shared" si="11"/>
        <v>50000</v>
      </c>
      <c r="K197" s="13">
        <v>2.6600000000000099E-2</v>
      </c>
      <c r="L197" s="13">
        <v>2.6700000000000101</v>
      </c>
      <c r="M197" s="18">
        <f t="shared" si="12"/>
        <v>133500.00000000049</v>
      </c>
      <c r="N197" s="18">
        <f t="shared" si="13"/>
        <v>133000.00000000049</v>
      </c>
    </row>
    <row r="198" spans="10:14">
      <c r="J198" s="13">
        <f t="shared" si="11"/>
        <v>50000</v>
      </c>
      <c r="K198" s="13">
        <v>2.6700000000000099E-2</v>
      </c>
      <c r="L198" s="13">
        <v>2.6800000000000099</v>
      </c>
      <c r="M198" s="18">
        <f t="shared" si="12"/>
        <v>134000.00000000049</v>
      </c>
      <c r="N198" s="18">
        <f t="shared" si="13"/>
        <v>133500.00000000049</v>
      </c>
    </row>
    <row r="199" spans="10:14">
      <c r="J199" s="13">
        <f t="shared" si="11"/>
        <v>50000</v>
      </c>
      <c r="K199" s="13">
        <v>2.6800000000000102E-2</v>
      </c>
      <c r="L199" s="13">
        <v>2.6900000000000102</v>
      </c>
      <c r="M199" s="18">
        <f t="shared" si="12"/>
        <v>134500.00000000049</v>
      </c>
      <c r="N199" s="18">
        <f t="shared" si="13"/>
        <v>134000.00000000049</v>
      </c>
    </row>
    <row r="200" spans="10:14">
      <c r="J200" s="13">
        <f t="shared" si="11"/>
        <v>50000</v>
      </c>
      <c r="K200" s="13">
        <v>2.6900000000000101E-2</v>
      </c>
      <c r="L200" s="13">
        <v>2.7000000000000099</v>
      </c>
      <c r="M200" s="18">
        <f t="shared" si="12"/>
        <v>135000.00000000049</v>
      </c>
      <c r="N200" s="18">
        <f t="shared" si="13"/>
        <v>134500.00000000049</v>
      </c>
    </row>
    <row r="201" spans="10:14">
      <c r="J201" s="13">
        <f t="shared" si="11"/>
        <v>50000</v>
      </c>
      <c r="K201" s="13">
        <v>2.70000000000001E-2</v>
      </c>
      <c r="L201" s="13">
        <v>2.7100000000000102</v>
      </c>
      <c r="M201" s="18">
        <f t="shared" si="12"/>
        <v>135500.00000000049</v>
      </c>
      <c r="N201" s="18">
        <f t="shared" si="13"/>
        <v>135000.00000000049</v>
      </c>
    </row>
    <row r="202" spans="10:14">
      <c r="J202" s="13">
        <f t="shared" si="11"/>
        <v>50000</v>
      </c>
      <c r="K202" s="13">
        <v>2.71000000000001E-2</v>
      </c>
      <c r="L202" s="13">
        <v>2.72000000000001</v>
      </c>
      <c r="M202" s="18">
        <f t="shared" si="12"/>
        <v>136000.00000000049</v>
      </c>
      <c r="N202" s="18">
        <f t="shared" si="13"/>
        <v>135500.00000000049</v>
      </c>
    </row>
    <row r="203" spans="10:14">
      <c r="J203" s="13">
        <f t="shared" si="11"/>
        <v>50000</v>
      </c>
      <c r="K203" s="13">
        <v>2.7200000000000099E-2</v>
      </c>
      <c r="L203" s="13">
        <v>2.7300000000000102</v>
      </c>
      <c r="M203" s="18">
        <f t="shared" si="12"/>
        <v>136500.00000000052</v>
      </c>
      <c r="N203" s="18">
        <f t="shared" si="13"/>
        <v>136000.00000000052</v>
      </c>
    </row>
    <row r="204" spans="10:14">
      <c r="J204" s="13">
        <f t="shared" si="11"/>
        <v>50000</v>
      </c>
      <c r="K204" s="13">
        <v>2.7300000000000098E-2</v>
      </c>
      <c r="L204" s="13">
        <v>2.74000000000001</v>
      </c>
      <c r="M204" s="18">
        <f t="shared" si="12"/>
        <v>137000.00000000049</v>
      </c>
      <c r="N204" s="18">
        <f t="shared" si="13"/>
        <v>136500.00000000049</v>
      </c>
    </row>
    <row r="205" spans="10:14">
      <c r="J205" s="13">
        <f t="shared" si="11"/>
        <v>50000</v>
      </c>
      <c r="K205" s="13">
        <v>2.7400000000000101E-2</v>
      </c>
      <c r="L205" s="13">
        <v>2.75000000000002</v>
      </c>
      <c r="M205" s="18">
        <f t="shared" si="12"/>
        <v>137500.00000000099</v>
      </c>
      <c r="N205" s="18">
        <f t="shared" si="13"/>
        <v>137000.00000000099</v>
      </c>
    </row>
    <row r="206" spans="10:14">
      <c r="J206" s="13">
        <f t="shared" si="11"/>
        <v>50000</v>
      </c>
      <c r="K206" s="13">
        <v>2.7500000000000101E-2</v>
      </c>
      <c r="L206" s="13">
        <v>2.76000000000001</v>
      </c>
      <c r="M206" s="18">
        <f t="shared" si="12"/>
        <v>138000.00000000049</v>
      </c>
      <c r="N206" s="18">
        <f t="shared" si="13"/>
        <v>137500.00000000049</v>
      </c>
    </row>
    <row r="207" spans="10:14">
      <c r="J207" s="13">
        <f t="shared" si="11"/>
        <v>50000</v>
      </c>
      <c r="K207" s="13">
        <v>2.76000000000001E-2</v>
      </c>
      <c r="L207" s="13">
        <v>2.77000000000002</v>
      </c>
      <c r="M207" s="18">
        <f t="shared" si="12"/>
        <v>138500.00000000099</v>
      </c>
      <c r="N207" s="18">
        <f t="shared" si="13"/>
        <v>138000.00000000099</v>
      </c>
    </row>
    <row r="208" spans="10:14">
      <c r="J208" s="13">
        <f t="shared" si="11"/>
        <v>50000</v>
      </c>
      <c r="K208" s="13">
        <v>2.77000000000001E-2</v>
      </c>
      <c r="L208" s="13">
        <v>2.7800000000000198</v>
      </c>
      <c r="M208" s="18">
        <f t="shared" si="12"/>
        <v>139000.00000000099</v>
      </c>
      <c r="N208" s="18">
        <f t="shared" si="13"/>
        <v>138500.00000000099</v>
      </c>
    </row>
    <row r="209" spans="10:14">
      <c r="J209" s="13">
        <f t="shared" si="11"/>
        <v>50000</v>
      </c>
      <c r="K209" s="13">
        <v>2.7800000000000099E-2</v>
      </c>
      <c r="L209" s="13">
        <v>2.79000000000002</v>
      </c>
      <c r="M209" s="18">
        <f t="shared" si="12"/>
        <v>139500.00000000099</v>
      </c>
      <c r="N209" s="18">
        <f t="shared" si="13"/>
        <v>139000.00000000099</v>
      </c>
    </row>
    <row r="210" spans="10:14">
      <c r="J210" s="13">
        <f t="shared" si="11"/>
        <v>50000</v>
      </c>
      <c r="K210" s="13">
        <v>2.7900000000000098E-2</v>
      </c>
      <c r="L210" s="13">
        <v>2.8000000000000198</v>
      </c>
      <c r="M210" s="18">
        <f t="shared" si="12"/>
        <v>140000.00000000099</v>
      </c>
      <c r="N210" s="18">
        <f t="shared" si="13"/>
        <v>139500.00000000099</v>
      </c>
    </row>
    <row r="211" spans="10:14">
      <c r="J211" s="13">
        <f t="shared" si="11"/>
        <v>50000</v>
      </c>
      <c r="K211" s="13">
        <v>2.8000000000000101E-2</v>
      </c>
      <c r="L211" s="13">
        <v>2.81000000000002</v>
      </c>
      <c r="M211" s="18">
        <f t="shared" si="12"/>
        <v>140500.00000000099</v>
      </c>
      <c r="N211" s="18">
        <f t="shared" si="13"/>
        <v>140000.00000000099</v>
      </c>
    </row>
    <row r="212" spans="10:14">
      <c r="J212" s="13">
        <f t="shared" si="11"/>
        <v>50000</v>
      </c>
      <c r="K212" s="13">
        <v>2.8100000000000101E-2</v>
      </c>
      <c r="L212" s="13">
        <v>2.8200000000000198</v>
      </c>
      <c r="M212" s="18">
        <f t="shared" si="12"/>
        <v>141000.00000000099</v>
      </c>
      <c r="N212" s="18">
        <f t="shared" si="13"/>
        <v>140500.00000000099</v>
      </c>
    </row>
    <row r="213" spans="10:14">
      <c r="J213" s="13">
        <f t="shared" si="11"/>
        <v>50000</v>
      </c>
      <c r="K213" s="13">
        <v>2.82000000000001E-2</v>
      </c>
      <c r="L213" s="13">
        <v>2.8300000000000201</v>
      </c>
      <c r="M213" s="18">
        <f t="shared" si="12"/>
        <v>141500.00000000099</v>
      </c>
      <c r="N213" s="18">
        <f t="shared" si="13"/>
        <v>141000.00000000099</v>
      </c>
    </row>
    <row r="214" spans="10:14">
      <c r="J214" s="13">
        <f t="shared" si="11"/>
        <v>50000</v>
      </c>
      <c r="K214" s="13">
        <v>2.8300000000000099E-2</v>
      </c>
      <c r="L214" s="13">
        <v>2.8400000000000198</v>
      </c>
      <c r="M214" s="18">
        <f t="shared" si="12"/>
        <v>142000.00000000099</v>
      </c>
      <c r="N214" s="18">
        <f t="shared" si="13"/>
        <v>141500.00000000099</v>
      </c>
    </row>
    <row r="215" spans="10:14">
      <c r="J215" s="13">
        <f t="shared" si="11"/>
        <v>50000</v>
      </c>
      <c r="K215" s="13">
        <v>2.8400000000000099E-2</v>
      </c>
      <c r="L215" s="13">
        <v>2.8500000000000201</v>
      </c>
      <c r="M215" s="18">
        <f t="shared" si="12"/>
        <v>142500.00000000099</v>
      </c>
      <c r="N215" s="18">
        <f t="shared" si="13"/>
        <v>142000.00000000099</v>
      </c>
    </row>
    <row r="216" spans="10:14">
      <c r="J216" s="13">
        <f t="shared" si="11"/>
        <v>50000</v>
      </c>
      <c r="K216" s="13">
        <v>2.8500000000000102E-2</v>
      </c>
      <c r="L216" s="13">
        <v>2.8600000000000199</v>
      </c>
      <c r="M216" s="18">
        <f t="shared" si="12"/>
        <v>143000.00000000099</v>
      </c>
      <c r="N216" s="18">
        <f t="shared" si="13"/>
        <v>142500.00000000099</v>
      </c>
    </row>
    <row r="217" spans="10:14">
      <c r="J217" s="13">
        <f t="shared" si="11"/>
        <v>50000</v>
      </c>
      <c r="K217" s="13">
        <v>2.8600000000000101E-2</v>
      </c>
      <c r="L217" s="13">
        <v>2.8700000000000201</v>
      </c>
      <c r="M217" s="18">
        <f t="shared" si="12"/>
        <v>143500.00000000102</v>
      </c>
      <c r="N217" s="18">
        <f t="shared" si="13"/>
        <v>143000.00000000102</v>
      </c>
    </row>
    <row r="218" spans="10:14">
      <c r="J218" s="13">
        <f t="shared" si="11"/>
        <v>50000</v>
      </c>
      <c r="K218" s="13">
        <v>2.87000000000001E-2</v>
      </c>
      <c r="L218" s="13">
        <v>2.8800000000000199</v>
      </c>
      <c r="M218" s="18">
        <f t="shared" si="12"/>
        <v>144000.00000000099</v>
      </c>
      <c r="N218" s="18">
        <f t="shared" si="13"/>
        <v>143500.00000000099</v>
      </c>
    </row>
    <row r="219" spans="10:14">
      <c r="J219" s="13">
        <f t="shared" si="11"/>
        <v>50000</v>
      </c>
      <c r="K219" s="13">
        <v>2.88000000000001E-2</v>
      </c>
      <c r="L219" s="13">
        <v>2.8900000000000201</v>
      </c>
      <c r="M219" s="18">
        <f t="shared" si="12"/>
        <v>144500.00000000102</v>
      </c>
      <c r="N219" s="18">
        <f t="shared" si="13"/>
        <v>144000.00000000102</v>
      </c>
    </row>
    <row r="220" spans="10:14">
      <c r="J220" s="13">
        <f t="shared" si="11"/>
        <v>50000</v>
      </c>
      <c r="K220" s="13">
        <v>2.8900000000000099E-2</v>
      </c>
      <c r="L220" s="13">
        <v>2.9000000000000199</v>
      </c>
      <c r="M220" s="18">
        <f t="shared" si="12"/>
        <v>145000.00000000099</v>
      </c>
      <c r="N220" s="18">
        <f t="shared" si="13"/>
        <v>144500.00000000099</v>
      </c>
    </row>
    <row r="221" spans="10:14">
      <c r="J221" s="13">
        <f t="shared" si="11"/>
        <v>50000</v>
      </c>
      <c r="K221" s="13">
        <v>2.9000000000000099E-2</v>
      </c>
      <c r="L221" s="13">
        <v>2.9100000000000201</v>
      </c>
      <c r="M221" s="18">
        <f t="shared" si="12"/>
        <v>145500.00000000102</v>
      </c>
      <c r="N221" s="18">
        <f t="shared" si="13"/>
        <v>145000.00000000102</v>
      </c>
    </row>
    <row r="222" spans="10:14">
      <c r="J222" s="13">
        <f t="shared" si="11"/>
        <v>50000</v>
      </c>
      <c r="K222" s="13">
        <v>2.9100000000000101E-2</v>
      </c>
      <c r="L222" s="13">
        <v>2.9200000000000199</v>
      </c>
      <c r="M222" s="18">
        <f t="shared" si="12"/>
        <v>146000.00000000099</v>
      </c>
      <c r="N222" s="18">
        <f t="shared" si="13"/>
        <v>145500.00000000099</v>
      </c>
    </row>
    <row r="223" spans="10:14">
      <c r="J223" s="13">
        <f t="shared" si="11"/>
        <v>50000</v>
      </c>
      <c r="K223" s="13">
        <v>2.9200000000000101E-2</v>
      </c>
      <c r="L223" s="13">
        <v>2.9300000000000201</v>
      </c>
      <c r="M223" s="18">
        <f t="shared" si="12"/>
        <v>146500.00000000102</v>
      </c>
      <c r="N223" s="18">
        <f t="shared" si="13"/>
        <v>146000.00000000102</v>
      </c>
    </row>
    <row r="224" spans="10:14">
      <c r="J224" s="13">
        <f t="shared" ref="J224:J287" si="14">$F$13</f>
        <v>50000</v>
      </c>
      <c r="K224" s="13">
        <v>2.93000000000001E-2</v>
      </c>
      <c r="L224" s="13">
        <v>2.9400000000000199</v>
      </c>
      <c r="M224" s="18">
        <f t="shared" ref="M224:M287" si="15">J224*L224</f>
        <v>147000.00000000099</v>
      </c>
      <c r="N224" s="18">
        <f t="shared" ref="N224:N287" si="16">M224-J224*0.01</f>
        <v>146500.00000000099</v>
      </c>
    </row>
    <row r="225" spans="10:14">
      <c r="J225" s="13">
        <f t="shared" si="14"/>
        <v>50000</v>
      </c>
      <c r="K225" s="13">
        <v>2.94000000000001E-2</v>
      </c>
      <c r="L225" s="13">
        <v>2.9500000000000202</v>
      </c>
      <c r="M225" s="18">
        <f t="shared" si="15"/>
        <v>147500.00000000102</v>
      </c>
      <c r="N225" s="18">
        <f t="shared" si="16"/>
        <v>147000.00000000102</v>
      </c>
    </row>
    <row r="226" spans="10:14">
      <c r="J226" s="13">
        <f t="shared" si="14"/>
        <v>50000</v>
      </c>
      <c r="K226" s="13">
        <v>2.9500000000000099E-2</v>
      </c>
      <c r="L226" s="13">
        <v>2.9600000000000199</v>
      </c>
      <c r="M226" s="18">
        <f t="shared" si="15"/>
        <v>148000.00000000099</v>
      </c>
      <c r="N226" s="18">
        <f t="shared" si="16"/>
        <v>147500.00000000099</v>
      </c>
    </row>
    <row r="227" spans="10:14">
      <c r="J227" s="13">
        <f t="shared" si="14"/>
        <v>50000</v>
      </c>
      <c r="K227" s="13">
        <v>2.9600000000000098E-2</v>
      </c>
      <c r="L227" s="13">
        <v>2.9700000000000202</v>
      </c>
      <c r="M227" s="18">
        <f t="shared" si="15"/>
        <v>148500.00000000102</v>
      </c>
      <c r="N227" s="18">
        <f t="shared" si="16"/>
        <v>148000.00000000102</v>
      </c>
    </row>
    <row r="228" spans="10:14">
      <c r="J228" s="13">
        <f t="shared" si="14"/>
        <v>50000</v>
      </c>
      <c r="K228" s="13">
        <v>2.9700000000000101E-2</v>
      </c>
      <c r="L228" s="13">
        <v>2.98000000000002</v>
      </c>
      <c r="M228" s="18">
        <f t="shared" si="15"/>
        <v>149000.00000000099</v>
      </c>
      <c r="N228" s="18">
        <f t="shared" si="16"/>
        <v>148500.00000000099</v>
      </c>
    </row>
    <row r="229" spans="10:14">
      <c r="J229" s="13">
        <f t="shared" si="14"/>
        <v>50000</v>
      </c>
      <c r="K229" s="13">
        <v>2.9800000000000201E-2</v>
      </c>
      <c r="L229" s="13">
        <v>2.9900000000000202</v>
      </c>
      <c r="M229" s="18">
        <f t="shared" si="15"/>
        <v>149500.00000000102</v>
      </c>
      <c r="N229" s="18">
        <f t="shared" si="16"/>
        <v>149000.00000000102</v>
      </c>
    </row>
    <row r="230" spans="10:14">
      <c r="J230" s="13">
        <f t="shared" si="14"/>
        <v>50000</v>
      </c>
      <c r="K230" s="13">
        <v>2.9900000000000201E-2</v>
      </c>
      <c r="L230" s="13">
        <v>3.00000000000002</v>
      </c>
      <c r="M230" s="18">
        <f t="shared" si="15"/>
        <v>150000.00000000099</v>
      </c>
      <c r="N230" s="18">
        <f t="shared" si="16"/>
        <v>149500.00000000099</v>
      </c>
    </row>
    <row r="231" spans="10:14">
      <c r="J231" s="13">
        <f t="shared" si="14"/>
        <v>50000</v>
      </c>
      <c r="K231" s="13">
        <v>3.00000000000002E-2</v>
      </c>
      <c r="L231" s="13">
        <v>3.0100000000000202</v>
      </c>
      <c r="M231" s="18">
        <f t="shared" si="15"/>
        <v>150500.00000000102</v>
      </c>
      <c r="N231" s="18">
        <f t="shared" si="16"/>
        <v>150000.00000000102</v>
      </c>
    </row>
    <row r="232" spans="10:14">
      <c r="J232" s="13">
        <f t="shared" si="14"/>
        <v>50000</v>
      </c>
      <c r="K232" s="13">
        <v>3.01000000000002E-2</v>
      </c>
      <c r="L232" s="13">
        <v>3.02000000000002</v>
      </c>
      <c r="M232" s="18">
        <f t="shared" si="15"/>
        <v>151000.00000000099</v>
      </c>
      <c r="N232" s="18">
        <f t="shared" si="16"/>
        <v>150500.00000000099</v>
      </c>
    </row>
    <row r="233" spans="10:14">
      <c r="J233" s="13">
        <f t="shared" si="14"/>
        <v>50000</v>
      </c>
      <c r="K233" s="13">
        <v>3.0200000000000199E-2</v>
      </c>
      <c r="L233" s="13">
        <v>3.0300000000000198</v>
      </c>
      <c r="M233" s="18">
        <f t="shared" si="15"/>
        <v>151500.00000000099</v>
      </c>
      <c r="N233" s="18">
        <f t="shared" si="16"/>
        <v>151000.00000000099</v>
      </c>
    </row>
    <row r="234" spans="10:14">
      <c r="J234" s="13">
        <f t="shared" si="14"/>
        <v>50000</v>
      </c>
      <c r="K234" s="13">
        <v>3.0300000000000198E-2</v>
      </c>
      <c r="L234" s="13">
        <v>3.04000000000002</v>
      </c>
      <c r="M234" s="18">
        <f t="shared" si="15"/>
        <v>152000.00000000099</v>
      </c>
      <c r="N234" s="18">
        <f t="shared" si="16"/>
        <v>151500.00000000099</v>
      </c>
    </row>
    <row r="235" spans="10:14">
      <c r="J235" s="13">
        <f t="shared" si="14"/>
        <v>50000</v>
      </c>
      <c r="K235" s="13">
        <v>3.0400000000000201E-2</v>
      </c>
      <c r="L235" s="13">
        <v>3.0500000000000198</v>
      </c>
      <c r="M235" s="18">
        <f t="shared" si="15"/>
        <v>152500.00000000099</v>
      </c>
      <c r="N235" s="18">
        <f t="shared" si="16"/>
        <v>152000.00000000099</v>
      </c>
    </row>
    <row r="236" spans="10:14">
      <c r="J236" s="13">
        <f t="shared" si="14"/>
        <v>50000</v>
      </c>
      <c r="K236" s="13">
        <v>3.0500000000000201E-2</v>
      </c>
      <c r="L236" s="13">
        <v>3.06000000000002</v>
      </c>
      <c r="M236" s="18">
        <f t="shared" si="15"/>
        <v>153000.00000000099</v>
      </c>
      <c r="N236" s="18">
        <f t="shared" si="16"/>
        <v>152500.00000000099</v>
      </c>
    </row>
    <row r="237" spans="10:14">
      <c r="J237" s="13">
        <f t="shared" si="14"/>
        <v>50000</v>
      </c>
      <c r="K237" s="13">
        <v>3.06000000000002E-2</v>
      </c>
      <c r="L237" s="13">
        <v>3.0700000000000198</v>
      </c>
      <c r="M237" s="18">
        <f t="shared" si="15"/>
        <v>153500.00000000099</v>
      </c>
      <c r="N237" s="18">
        <f t="shared" si="16"/>
        <v>153000.00000000099</v>
      </c>
    </row>
    <row r="238" spans="10:14">
      <c r="J238" s="13">
        <f t="shared" si="14"/>
        <v>50000</v>
      </c>
      <c r="K238" s="13">
        <v>3.0700000000000199E-2</v>
      </c>
      <c r="L238" s="13">
        <v>3.0800000000000201</v>
      </c>
      <c r="M238" s="18">
        <f t="shared" si="15"/>
        <v>154000.00000000099</v>
      </c>
      <c r="N238" s="18">
        <f t="shared" si="16"/>
        <v>153500.00000000099</v>
      </c>
    </row>
    <row r="239" spans="10:14">
      <c r="J239" s="13">
        <f t="shared" si="14"/>
        <v>50000</v>
      </c>
      <c r="K239" s="13">
        <v>3.0800000000000199E-2</v>
      </c>
      <c r="L239" s="13">
        <v>3.0900000000000198</v>
      </c>
      <c r="M239" s="18">
        <f t="shared" si="15"/>
        <v>154500.00000000099</v>
      </c>
      <c r="N239" s="18">
        <f t="shared" si="16"/>
        <v>154000.00000000099</v>
      </c>
    </row>
    <row r="240" spans="10:14">
      <c r="J240" s="13">
        <f t="shared" si="14"/>
        <v>50000</v>
      </c>
      <c r="K240" s="13">
        <v>3.0900000000000202E-2</v>
      </c>
      <c r="L240" s="13">
        <v>3.1000000000000201</v>
      </c>
      <c r="M240" s="18">
        <f t="shared" si="15"/>
        <v>155000.00000000099</v>
      </c>
      <c r="N240" s="18">
        <f t="shared" si="16"/>
        <v>154500.00000000099</v>
      </c>
    </row>
    <row r="241" spans="10:14">
      <c r="J241" s="13">
        <f t="shared" si="14"/>
        <v>50000</v>
      </c>
      <c r="K241" s="13">
        <v>3.1000000000000201E-2</v>
      </c>
      <c r="L241" s="13">
        <v>3.1100000000000199</v>
      </c>
      <c r="M241" s="18">
        <f t="shared" si="15"/>
        <v>155500.00000000099</v>
      </c>
      <c r="N241" s="18">
        <f t="shared" si="16"/>
        <v>155000.00000000099</v>
      </c>
    </row>
    <row r="242" spans="10:14">
      <c r="J242" s="13">
        <f t="shared" si="14"/>
        <v>50000</v>
      </c>
      <c r="K242" s="13">
        <v>3.11000000000002E-2</v>
      </c>
      <c r="L242" s="13">
        <v>3.1200000000000201</v>
      </c>
      <c r="M242" s="18">
        <f t="shared" si="15"/>
        <v>156000.00000000102</v>
      </c>
      <c r="N242" s="18">
        <f t="shared" si="16"/>
        <v>155500.00000000102</v>
      </c>
    </row>
    <row r="243" spans="10:14">
      <c r="J243" s="13">
        <f t="shared" si="14"/>
        <v>50000</v>
      </c>
      <c r="K243" s="13">
        <v>3.12000000000002E-2</v>
      </c>
      <c r="L243" s="13">
        <v>3.1300000000000199</v>
      </c>
      <c r="M243" s="18">
        <f t="shared" si="15"/>
        <v>156500.00000000099</v>
      </c>
      <c r="N243" s="18">
        <f t="shared" si="16"/>
        <v>156000.00000000099</v>
      </c>
    </row>
    <row r="244" spans="10:14">
      <c r="J244" s="13">
        <f t="shared" si="14"/>
        <v>50000</v>
      </c>
      <c r="K244" s="13">
        <v>3.1300000000000203E-2</v>
      </c>
      <c r="L244" s="13">
        <v>3.1400000000000201</v>
      </c>
      <c r="M244" s="18">
        <f t="shared" si="15"/>
        <v>157000.00000000102</v>
      </c>
      <c r="N244" s="18">
        <f t="shared" si="16"/>
        <v>156500.00000000102</v>
      </c>
    </row>
    <row r="245" spans="10:14">
      <c r="J245" s="13">
        <f t="shared" si="14"/>
        <v>50000</v>
      </c>
      <c r="K245" s="13">
        <v>3.1400000000000199E-2</v>
      </c>
      <c r="L245" s="13">
        <v>3.1500000000000199</v>
      </c>
      <c r="M245" s="18">
        <f t="shared" si="15"/>
        <v>157500.00000000099</v>
      </c>
      <c r="N245" s="18">
        <f t="shared" si="16"/>
        <v>157000.00000000099</v>
      </c>
    </row>
    <row r="246" spans="10:14">
      <c r="J246" s="13">
        <f t="shared" si="14"/>
        <v>50000</v>
      </c>
      <c r="K246" s="13">
        <v>3.1500000000000201E-2</v>
      </c>
      <c r="L246" s="13">
        <v>3.1600000000000201</v>
      </c>
      <c r="M246" s="18">
        <f t="shared" si="15"/>
        <v>158000.00000000102</v>
      </c>
      <c r="N246" s="18">
        <f t="shared" si="16"/>
        <v>157500.00000000102</v>
      </c>
    </row>
    <row r="247" spans="10:14">
      <c r="J247" s="13">
        <f t="shared" si="14"/>
        <v>50000</v>
      </c>
      <c r="K247" s="13">
        <v>3.1600000000000197E-2</v>
      </c>
      <c r="L247" s="13">
        <v>3.1700000000000199</v>
      </c>
      <c r="M247" s="18">
        <f t="shared" si="15"/>
        <v>158500.00000000099</v>
      </c>
      <c r="N247" s="18">
        <f t="shared" si="16"/>
        <v>158000.00000000099</v>
      </c>
    </row>
    <row r="248" spans="10:14">
      <c r="J248" s="13">
        <f t="shared" si="14"/>
        <v>50000</v>
      </c>
      <c r="K248" s="13">
        <v>3.17000000000002E-2</v>
      </c>
      <c r="L248" s="13">
        <v>3.1800000000000201</v>
      </c>
      <c r="M248" s="18">
        <f t="shared" si="15"/>
        <v>159000.00000000102</v>
      </c>
      <c r="N248" s="18">
        <f t="shared" si="16"/>
        <v>158500.00000000102</v>
      </c>
    </row>
    <row r="249" spans="10:14">
      <c r="J249" s="13">
        <f t="shared" si="14"/>
        <v>50000</v>
      </c>
      <c r="K249" s="13">
        <v>3.1800000000000203E-2</v>
      </c>
      <c r="L249" s="13">
        <v>3.1900000000000199</v>
      </c>
      <c r="M249" s="18">
        <f t="shared" si="15"/>
        <v>159500.00000000099</v>
      </c>
      <c r="N249" s="18">
        <f t="shared" si="16"/>
        <v>159000.00000000099</v>
      </c>
    </row>
    <row r="250" spans="10:14">
      <c r="J250" s="13">
        <f t="shared" si="14"/>
        <v>50000</v>
      </c>
      <c r="K250" s="13">
        <v>3.1900000000000199E-2</v>
      </c>
      <c r="L250" s="13">
        <v>3.2000000000000202</v>
      </c>
      <c r="M250" s="18">
        <f t="shared" si="15"/>
        <v>160000.00000000102</v>
      </c>
      <c r="N250" s="18">
        <f t="shared" si="16"/>
        <v>159500.00000000102</v>
      </c>
    </row>
    <row r="251" spans="10:14">
      <c r="J251" s="13">
        <f t="shared" si="14"/>
        <v>50000</v>
      </c>
      <c r="K251" s="13">
        <v>3.2000000000000202E-2</v>
      </c>
      <c r="L251" s="13">
        <v>3.2100000000000199</v>
      </c>
      <c r="M251" s="18">
        <f t="shared" si="15"/>
        <v>160500.00000000099</v>
      </c>
      <c r="N251" s="18">
        <f t="shared" si="16"/>
        <v>160000.00000000099</v>
      </c>
    </row>
    <row r="252" spans="10:14">
      <c r="J252" s="13">
        <f t="shared" si="14"/>
        <v>50000</v>
      </c>
      <c r="K252" s="13">
        <v>3.2100000000000198E-2</v>
      </c>
      <c r="L252" s="13">
        <v>3.2200000000000202</v>
      </c>
      <c r="M252" s="18">
        <f t="shared" si="15"/>
        <v>161000.00000000102</v>
      </c>
      <c r="N252" s="18">
        <f t="shared" si="16"/>
        <v>160500.00000000102</v>
      </c>
    </row>
    <row r="253" spans="10:14">
      <c r="J253" s="13">
        <f t="shared" si="14"/>
        <v>50000</v>
      </c>
      <c r="K253" s="13">
        <v>3.2200000000000201E-2</v>
      </c>
      <c r="L253" s="13">
        <v>3.23000000000002</v>
      </c>
      <c r="M253" s="18">
        <f t="shared" si="15"/>
        <v>161500.00000000099</v>
      </c>
      <c r="N253" s="18">
        <f t="shared" si="16"/>
        <v>161000.00000000099</v>
      </c>
    </row>
    <row r="254" spans="10:14">
      <c r="J254" s="13">
        <f t="shared" si="14"/>
        <v>50000</v>
      </c>
      <c r="K254" s="13">
        <v>3.2300000000000197E-2</v>
      </c>
      <c r="L254" s="13">
        <v>3.2400000000000202</v>
      </c>
      <c r="M254" s="18">
        <f t="shared" si="15"/>
        <v>162000.00000000102</v>
      </c>
      <c r="N254" s="18">
        <f t="shared" si="16"/>
        <v>161500.00000000102</v>
      </c>
    </row>
    <row r="255" spans="10:14">
      <c r="J255" s="13">
        <f t="shared" si="14"/>
        <v>50000</v>
      </c>
      <c r="K255" s="13">
        <v>3.2400000000000199E-2</v>
      </c>
      <c r="L255" s="13">
        <v>3.2500000000000102</v>
      </c>
      <c r="M255" s="18">
        <f t="shared" si="15"/>
        <v>162500.00000000052</v>
      </c>
      <c r="N255" s="18">
        <f t="shared" si="16"/>
        <v>162000.00000000052</v>
      </c>
    </row>
    <row r="256" spans="10:14">
      <c r="J256" s="13">
        <f t="shared" si="14"/>
        <v>50000</v>
      </c>
      <c r="K256" s="13">
        <v>3.2500000000000202E-2</v>
      </c>
      <c r="L256" s="13">
        <v>3.26000000000001</v>
      </c>
      <c r="M256" s="18">
        <f t="shared" si="15"/>
        <v>163000.00000000049</v>
      </c>
      <c r="N256" s="18">
        <f t="shared" si="16"/>
        <v>162500.00000000049</v>
      </c>
    </row>
    <row r="257" spans="10:14">
      <c r="J257" s="13">
        <f t="shared" si="14"/>
        <v>50000</v>
      </c>
      <c r="K257" s="13">
        <v>3.2600000000000198E-2</v>
      </c>
      <c r="L257" s="13">
        <v>3.2700000000000098</v>
      </c>
      <c r="M257" s="18">
        <f t="shared" si="15"/>
        <v>163500.00000000049</v>
      </c>
      <c r="N257" s="18">
        <f t="shared" si="16"/>
        <v>163000.00000000049</v>
      </c>
    </row>
    <row r="258" spans="10:14">
      <c r="J258" s="13">
        <f t="shared" si="14"/>
        <v>50000</v>
      </c>
      <c r="K258" s="13">
        <v>3.2700000000000201E-2</v>
      </c>
      <c r="L258" s="13">
        <v>3.28000000000001</v>
      </c>
      <c r="M258" s="18">
        <f t="shared" si="15"/>
        <v>164000.00000000049</v>
      </c>
      <c r="N258" s="18">
        <f t="shared" si="16"/>
        <v>163500.00000000049</v>
      </c>
    </row>
    <row r="259" spans="10:14">
      <c r="J259" s="13">
        <f t="shared" si="14"/>
        <v>50000</v>
      </c>
      <c r="K259" s="13">
        <v>3.2800000000000197E-2</v>
      </c>
      <c r="L259" s="13">
        <v>3.2900000000000098</v>
      </c>
      <c r="M259" s="18">
        <f t="shared" si="15"/>
        <v>164500.00000000049</v>
      </c>
      <c r="N259" s="18">
        <f t="shared" si="16"/>
        <v>164000.00000000049</v>
      </c>
    </row>
    <row r="260" spans="10:14">
      <c r="J260" s="13">
        <f t="shared" si="14"/>
        <v>50000</v>
      </c>
      <c r="K260" s="13">
        <v>3.29000000000002E-2</v>
      </c>
      <c r="L260" s="13">
        <v>3.30000000000001</v>
      </c>
      <c r="M260" s="18">
        <f t="shared" si="15"/>
        <v>165000.00000000049</v>
      </c>
      <c r="N260" s="18">
        <f t="shared" si="16"/>
        <v>164500.00000000049</v>
      </c>
    </row>
    <row r="261" spans="10:14">
      <c r="J261" s="13">
        <f t="shared" si="14"/>
        <v>50000</v>
      </c>
      <c r="K261" s="13">
        <v>3.3000000000000203E-2</v>
      </c>
      <c r="L261" s="13">
        <v>3.3100000000000098</v>
      </c>
      <c r="M261" s="18">
        <f t="shared" si="15"/>
        <v>165500.00000000049</v>
      </c>
      <c r="N261" s="18">
        <f t="shared" si="16"/>
        <v>165000.00000000049</v>
      </c>
    </row>
    <row r="262" spans="10:14">
      <c r="J262" s="13">
        <f t="shared" si="14"/>
        <v>50000</v>
      </c>
      <c r="K262" s="13">
        <v>3.3100000000000199E-2</v>
      </c>
      <c r="L262" s="13">
        <v>3.3200000000000101</v>
      </c>
      <c r="M262" s="18">
        <f t="shared" si="15"/>
        <v>166000.00000000049</v>
      </c>
      <c r="N262" s="18">
        <f t="shared" si="16"/>
        <v>165500.00000000049</v>
      </c>
    </row>
    <row r="263" spans="10:14">
      <c r="J263" s="13">
        <f t="shared" si="14"/>
        <v>50000</v>
      </c>
      <c r="K263" s="13">
        <v>3.3200000000000202E-2</v>
      </c>
      <c r="L263" s="13">
        <v>3.3300000000000098</v>
      </c>
      <c r="M263" s="18">
        <f t="shared" si="15"/>
        <v>166500.00000000049</v>
      </c>
      <c r="N263" s="18">
        <f t="shared" si="16"/>
        <v>166000.00000000049</v>
      </c>
    </row>
    <row r="264" spans="10:14">
      <c r="J264" s="13">
        <f t="shared" si="14"/>
        <v>50000</v>
      </c>
      <c r="K264" s="13">
        <v>3.3300000000000197E-2</v>
      </c>
      <c r="L264" s="13">
        <v>3.3400000000000101</v>
      </c>
      <c r="M264" s="18">
        <f t="shared" si="15"/>
        <v>167000.00000000049</v>
      </c>
      <c r="N264" s="18">
        <f t="shared" si="16"/>
        <v>166500.00000000049</v>
      </c>
    </row>
    <row r="265" spans="10:14">
      <c r="J265" s="13">
        <f t="shared" si="14"/>
        <v>50000</v>
      </c>
      <c r="K265" s="13">
        <v>3.34000000000002E-2</v>
      </c>
      <c r="L265" s="13">
        <v>3.3500000000000099</v>
      </c>
      <c r="M265" s="18">
        <f t="shared" si="15"/>
        <v>167500.00000000049</v>
      </c>
      <c r="N265" s="18">
        <f t="shared" si="16"/>
        <v>167000.00000000049</v>
      </c>
    </row>
    <row r="266" spans="10:14">
      <c r="J266" s="13">
        <f t="shared" si="14"/>
        <v>50000</v>
      </c>
      <c r="K266" s="13">
        <v>3.3500000000000203E-2</v>
      </c>
      <c r="L266" s="13">
        <v>3.3600000000000101</v>
      </c>
      <c r="M266" s="18">
        <f t="shared" si="15"/>
        <v>168000.00000000049</v>
      </c>
      <c r="N266" s="18">
        <f t="shared" si="16"/>
        <v>167500.00000000049</v>
      </c>
    </row>
    <row r="267" spans="10:14">
      <c r="J267" s="13">
        <f t="shared" si="14"/>
        <v>50000</v>
      </c>
      <c r="K267" s="13">
        <v>3.3600000000000199E-2</v>
      </c>
      <c r="L267" s="13">
        <v>3.3700000000000099</v>
      </c>
      <c r="M267" s="18">
        <f t="shared" si="15"/>
        <v>168500.00000000049</v>
      </c>
      <c r="N267" s="18">
        <f t="shared" si="16"/>
        <v>168000.00000000049</v>
      </c>
    </row>
    <row r="268" spans="10:14">
      <c r="J268" s="13">
        <f t="shared" si="14"/>
        <v>50000</v>
      </c>
      <c r="K268" s="13">
        <v>3.3700000000000202E-2</v>
      </c>
      <c r="L268" s="13">
        <v>3.3800000000000101</v>
      </c>
      <c r="M268" s="18">
        <f t="shared" si="15"/>
        <v>169000.00000000049</v>
      </c>
      <c r="N268" s="18">
        <f t="shared" si="16"/>
        <v>168500.00000000049</v>
      </c>
    </row>
    <row r="269" spans="10:14">
      <c r="J269" s="13">
        <f t="shared" si="14"/>
        <v>50000</v>
      </c>
      <c r="K269" s="13">
        <v>3.3800000000000198E-2</v>
      </c>
      <c r="L269" s="13">
        <v>3.3900000000000099</v>
      </c>
      <c r="M269" s="18">
        <f t="shared" si="15"/>
        <v>169500.00000000049</v>
      </c>
      <c r="N269" s="18">
        <f t="shared" si="16"/>
        <v>169000.00000000049</v>
      </c>
    </row>
    <row r="270" spans="10:14">
      <c r="J270" s="13">
        <f t="shared" si="14"/>
        <v>50000</v>
      </c>
      <c r="K270" s="13">
        <v>3.3900000000000201E-2</v>
      </c>
      <c r="L270" s="13">
        <v>3.4000000000000101</v>
      </c>
      <c r="M270" s="18">
        <f t="shared" si="15"/>
        <v>170000.00000000049</v>
      </c>
      <c r="N270" s="18">
        <f t="shared" si="16"/>
        <v>169500.00000000049</v>
      </c>
    </row>
    <row r="271" spans="10:14">
      <c r="J271" s="13">
        <f t="shared" si="14"/>
        <v>50000</v>
      </c>
      <c r="K271" s="13">
        <v>3.4000000000000197E-2</v>
      </c>
      <c r="L271" s="13">
        <v>3.4100000000000099</v>
      </c>
      <c r="M271" s="18">
        <f t="shared" si="15"/>
        <v>170500.00000000049</v>
      </c>
      <c r="N271" s="18">
        <f t="shared" si="16"/>
        <v>170000.00000000049</v>
      </c>
    </row>
    <row r="272" spans="10:14">
      <c r="J272" s="13">
        <f t="shared" si="14"/>
        <v>50000</v>
      </c>
      <c r="K272" s="13">
        <v>3.41000000000002E-2</v>
      </c>
      <c r="L272" s="13">
        <v>3.4200000000000101</v>
      </c>
      <c r="M272" s="18">
        <f t="shared" si="15"/>
        <v>171000.00000000049</v>
      </c>
      <c r="N272" s="18">
        <f t="shared" si="16"/>
        <v>170500.00000000049</v>
      </c>
    </row>
    <row r="273" spans="10:14">
      <c r="J273" s="13">
        <f t="shared" si="14"/>
        <v>50000</v>
      </c>
      <c r="K273" s="13">
        <v>3.4200000000000202E-2</v>
      </c>
      <c r="L273" s="13">
        <v>3.4300000000000099</v>
      </c>
      <c r="M273" s="18">
        <f t="shared" si="15"/>
        <v>171500.00000000049</v>
      </c>
      <c r="N273" s="18">
        <f t="shared" si="16"/>
        <v>171000.00000000049</v>
      </c>
    </row>
    <row r="274" spans="10:14">
      <c r="J274" s="13">
        <f t="shared" si="14"/>
        <v>50000</v>
      </c>
      <c r="K274" s="13">
        <v>3.4300000000000198E-2</v>
      </c>
      <c r="L274" s="13">
        <v>3.4400000000000102</v>
      </c>
      <c r="M274" s="18">
        <f t="shared" si="15"/>
        <v>172000.00000000049</v>
      </c>
      <c r="N274" s="18">
        <f t="shared" si="16"/>
        <v>171500.00000000049</v>
      </c>
    </row>
    <row r="275" spans="10:14">
      <c r="J275" s="13">
        <f t="shared" si="14"/>
        <v>50000</v>
      </c>
      <c r="K275" s="13">
        <v>3.4400000000000201E-2</v>
      </c>
      <c r="L275" s="13">
        <v>3.4500000000000099</v>
      </c>
      <c r="M275" s="18">
        <f t="shared" si="15"/>
        <v>172500.00000000049</v>
      </c>
      <c r="N275" s="18">
        <f t="shared" si="16"/>
        <v>172000.00000000049</v>
      </c>
    </row>
    <row r="276" spans="10:14">
      <c r="J276" s="13">
        <f t="shared" si="14"/>
        <v>50000</v>
      </c>
      <c r="K276" s="13">
        <v>3.4500000000000197E-2</v>
      </c>
      <c r="L276" s="13">
        <v>3.4600000000000102</v>
      </c>
      <c r="M276" s="18">
        <f t="shared" si="15"/>
        <v>173000.00000000049</v>
      </c>
      <c r="N276" s="18">
        <f t="shared" si="16"/>
        <v>172500.00000000049</v>
      </c>
    </row>
    <row r="277" spans="10:14">
      <c r="J277" s="13">
        <f t="shared" si="14"/>
        <v>50000</v>
      </c>
      <c r="K277" s="13">
        <v>3.46000000000002E-2</v>
      </c>
      <c r="L277" s="13">
        <v>3.47000000000001</v>
      </c>
      <c r="M277" s="18">
        <f t="shared" si="15"/>
        <v>173500.00000000049</v>
      </c>
      <c r="N277" s="18">
        <f t="shared" si="16"/>
        <v>173000.00000000049</v>
      </c>
    </row>
    <row r="278" spans="10:14">
      <c r="J278" s="13">
        <f t="shared" si="14"/>
        <v>50000</v>
      </c>
      <c r="K278" s="13">
        <v>3.4700000000000203E-2</v>
      </c>
      <c r="L278" s="13">
        <v>3.4800000000000102</v>
      </c>
      <c r="M278" s="18">
        <f t="shared" si="15"/>
        <v>174000.00000000052</v>
      </c>
      <c r="N278" s="18">
        <f t="shared" si="16"/>
        <v>173500.00000000052</v>
      </c>
    </row>
    <row r="279" spans="10:14">
      <c r="J279" s="13">
        <f t="shared" si="14"/>
        <v>50000</v>
      </c>
      <c r="K279" s="13">
        <v>3.4800000000000199E-2</v>
      </c>
      <c r="L279" s="13">
        <v>3.49000000000001</v>
      </c>
      <c r="M279" s="18">
        <f t="shared" si="15"/>
        <v>174500.00000000049</v>
      </c>
      <c r="N279" s="18">
        <f t="shared" si="16"/>
        <v>174000.00000000049</v>
      </c>
    </row>
    <row r="280" spans="10:14">
      <c r="J280" s="13">
        <f t="shared" si="14"/>
        <v>50000</v>
      </c>
      <c r="K280" s="13">
        <v>3.4900000000000202E-2</v>
      </c>
      <c r="L280" s="13">
        <v>3.5000000000000102</v>
      </c>
      <c r="M280" s="18">
        <f t="shared" si="15"/>
        <v>175000.00000000052</v>
      </c>
      <c r="N280" s="18">
        <f t="shared" si="16"/>
        <v>174500.00000000052</v>
      </c>
    </row>
    <row r="281" spans="10:14">
      <c r="J281" s="13">
        <f t="shared" si="14"/>
        <v>50000</v>
      </c>
      <c r="K281" s="13">
        <v>3.5000000000000198E-2</v>
      </c>
      <c r="L281" s="13">
        <v>3.51000000000001</v>
      </c>
      <c r="M281" s="18">
        <f t="shared" si="15"/>
        <v>175500.00000000049</v>
      </c>
      <c r="N281" s="18">
        <f t="shared" si="16"/>
        <v>175000.00000000049</v>
      </c>
    </row>
    <row r="282" spans="10:14">
      <c r="J282" s="13">
        <f t="shared" si="14"/>
        <v>50000</v>
      </c>
      <c r="K282" s="13">
        <v>3.51000000000002E-2</v>
      </c>
      <c r="L282" s="13">
        <v>3.5200000000000098</v>
      </c>
      <c r="M282" s="18">
        <f t="shared" si="15"/>
        <v>176000.00000000049</v>
      </c>
      <c r="N282" s="18">
        <f t="shared" si="16"/>
        <v>175500.00000000049</v>
      </c>
    </row>
    <row r="283" spans="10:14">
      <c r="J283" s="13">
        <f t="shared" si="14"/>
        <v>50000</v>
      </c>
      <c r="K283" s="13">
        <v>3.5200000000000203E-2</v>
      </c>
      <c r="L283" s="13">
        <v>3.53000000000001</v>
      </c>
      <c r="M283" s="18">
        <f t="shared" si="15"/>
        <v>176500.00000000049</v>
      </c>
      <c r="N283" s="18">
        <f t="shared" si="16"/>
        <v>176000.00000000049</v>
      </c>
    </row>
    <row r="284" spans="10:14">
      <c r="J284" s="13">
        <f t="shared" si="14"/>
        <v>50000</v>
      </c>
      <c r="K284" s="13">
        <v>3.5300000000000199E-2</v>
      </c>
      <c r="L284" s="13">
        <v>3.5400000000000098</v>
      </c>
      <c r="M284" s="18">
        <f t="shared" si="15"/>
        <v>177000.00000000049</v>
      </c>
      <c r="N284" s="18">
        <f t="shared" si="16"/>
        <v>176500.00000000049</v>
      </c>
    </row>
    <row r="285" spans="10:14">
      <c r="J285" s="13">
        <f t="shared" si="14"/>
        <v>50000</v>
      </c>
      <c r="K285" s="13">
        <v>3.5400000000000202E-2</v>
      </c>
      <c r="L285" s="13">
        <v>3.55000000000001</v>
      </c>
      <c r="M285" s="18">
        <f t="shared" si="15"/>
        <v>177500.00000000049</v>
      </c>
      <c r="N285" s="18">
        <f t="shared" si="16"/>
        <v>177000.00000000049</v>
      </c>
    </row>
    <row r="286" spans="10:14">
      <c r="J286" s="13">
        <f t="shared" si="14"/>
        <v>50000</v>
      </c>
      <c r="K286" s="13">
        <v>3.5500000000000198E-2</v>
      </c>
      <c r="L286" s="13">
        <v>3.5600000000000098</v>
      </c>
      <c r="M286" s="18">
        <f t="shared" si="15"/>
        <v>178000.00000000049</v>
      </c>
      <c r="N286" s="18">
        <f t="shared" si="16"/>
        <v>177500.00000000049</v>
      </c>
    </row>
    <row r="287" spans="10:14">
      <c r="J287" s="13">
        <f t="shared" si="14"/>
        <v>50000</v>
      </c>
      <c r="K287" s="13">
        <v>3.5600000000000201E-2</v>
      </c>
      <c r="L287" s="13">
        <v>3.5700000000000101</v>
      </c>
      <c r="M287" s="18">
        <f t="shared" si="15"/>
        <v>178500.00000000049</v>
      </c>
      <c r="N287" s="18">
        <f t="shared" si="16"/>
        <v>178000.00000000049</v>
      </c>
    </row>
    <row r="288" spans="10:14">
      <c r="J288" s="13">
        <f t="shared" ref="J288:J351" si="17">$F$13</f>
        <v>50000</v>
      </c>
      <c r="K288" s="13">
        <v>3.5700000000000197E-2</v>
      </c>
      <c r="L288" s="13">
        <v>3.5800000000000098</v>
      </c>
      <c r="M288" s="18">
        <f t="shared" ref="M288:M351" si="18">J288*L288</f>
        <v>179000.00000000049</v>
      </c>
      <c r="N288" s="18">
        <f t="shared" ref="N288:N351" si="19">M288-J288*0.01</f>
        <v>178500.00000000049</v>
      </c>
    </row>
    <row r="289" spans="10:14">
      <c r="J289" s="13">
        <f t="shared" si="17"/>
        <v>50000</v>
      </c>
      <c r="K289" s="13">
        <v>3.58000000000002E-2</v>
      </c>
      <c r="L289" s="13">
        <v>3.5900000000000101</v>
      </c>
      <c r="M289" s="18">
        <f t="shared" si="18"/>
        <v>179500.00000000049</v>
      </c>
      <c r="N289" s="18">
        <f t="shared" si="19"/>
        <v>179000.00000000049</v>
      </c>
    </row>
    <row r="290" spans="10:14">
      <c r="J290" s="13">
        <f t="shared" si="17"/>
        <v>50000</v>
      </c>
      <c r="K290" s="13">
        <v>3.5900000000000203E-2</v>
      </c>
      <c r="L290" s="13">
        <v>3.6000000000000099</v>
      </c>
      <c r="M290" s="18">
        <f t="shared" si="18"/>
        <v>180000.00000000049</v>
      </c>
      <c r="N290" s="18">
        <f t="shared" si="19"/>
        <v>179500.00000000049</v>
      </c>
    </row>
    <row r="291" spans="10:14">
      <c r="J291" s="13">
        <f t="shared" si="17"/>
        <v>50000</v>
      </c>
      <c r="K291" s="13">
        <v>3.6000000000000199E-2</v>
      </c>
      <c r="L291" s="13">
        <v>3.6100000000000101</v>
      </c>
      <c r="M291" s="18">
        <f t="shared" si="18"/>
        <v>180500.00000000049</v>
      </c>
      <c r="N291" s="18">
        <f t="shared" si="19"/>
        <v>180000.00000000049</v>
      </c>
    </row>
    <row r="292" spans="10:14">
      <c r="J292" s="13">
        <f t="shared" si="17"/>
        <v>50000</v>
      </c>
      <c r="K292" s="13">
        <v>3.6100000000000201E-2</v>
      </c>
      <c r="L292" s="13">
        <v>3.6200000000000099</v>
      </c>
      <c r="M292" s="18">
        <f t="shared" si="18"/>
        <v>181000.00000000049</v>
      </c>
      <c r="N292" s="18">
        <f t="shared" si="19"/>
        <v>180500.00000000049</v>
      </c>
    </row>
    <row r="293" spans="10:14">
      <c r="J293" s="13">
        <f t="shared" si="17"/>
        <v>50000</v>
      </c>
      <c r="K293" s="13">
        <v>3.6200000000000197E-2</v>
      </c>
      <c r="L293" s="13">
        <v>3.6300000000000101</v>
      </c>
      <c r="M293" s="18">
        <f t="shared" si="18"/>
        <v>181500.00000000049</v>
      </c>
      <c r="N293" s="18">
        <f t="shared" si="19"/>
        <v>181000.00000000049</v>
      </c>
    </row>
    <row r="294" spans="10:14">
      <c r="J294" s="13">
        <f t="shared" si="17"/>
        <v>50000</v>
      </c>
      <c r="K294" s="13">
        <v>3.63000000000002E-2</v>
      </c>
      <c r="L294" s="13">
        <v>3.6400000000000099</v>
      </c>
      <c r="M294" s="18">
        <f t="shared" si="18"/>
        <v>182000.00000000049</v>
      </c>
      <c r="N294" s="18">
        <f t="shared" si="19"/>
        <v>181500.00000000049</v>
      </c>
    </row>
    <row r="295" spans="10:14">
      <c r="J295" s="13">
        <f t="shared" si="17"/>
        <v>50000</v>
      </c>
      <c r="K295" s="13">
        <v>3.6400000000000203E-2</v>
      </c>
      <c r="L295" s="13">
        <v>3.6500000000000101</v>
      </c>
      <c r="M295" s="18">
        <f t="shared" si="18"/>
        <v>182500.00000000049</v>
      </c>
      <c r="N295" s="18">
        <f t="shared" si="19"/>
        <v>182000.00000000049</v>
      </c>
    </row>
    <row r="296" spans="10:14">
      <c r="J296" s="13">
        <f t="shared" si="17"/>
        <v>50000</v>
      </c>
      <c r="K296" s="13">
        <v>3.6500000000000199E-2</v>
      </c>
      <c r="L296" s="13">
        <v>3.6600000000000099</v>
      </c>
      <c r="M296" s="18">
        <f t="shared" si="18"/>
        <v>183000.00000000049</v>
      </c>
      <c r="N296" s="18">
        <f t="shared" si="19"/>
        <v>182500.00000000049</v>
      </c>
    </row>
    <row r="297" spans="10:14">
      <c r="J297" s="13">
        <f t="shared" si="17"/>
        <v>50000</v>
      </c>
      <c r="K297" s="13">
        <v>3.6600000000000202E-2</v>
      </c>
      <c r="L297" s="13">
        <v>3.6700000000000101</v>
      </c>
      <c r="M297" s="18">
        <f t="shared" si="18"/>
        <v>183500.00000000049</v>
      </c>
      <c r="N297" s="18">
        <f t="shared" si="19"/>
        <v>183000.00000000049</v>
      </c>
    </row>
    <row r="298" spans="10:14">
      <c r="J298" s="13">
        <f t="shared" si="17"/>
        <v>50000</v>
      </c>
      <c r="K298" s="13">
        <v>3.6700000000000198E-2</v>
      </c>
      <c r="L298" s="13">
        <v>3.6800000000000099</v>
      </c>
      <c r="M298" s="18">
        <f t="shared" si="18"/>
        <v>184000.00000000049</v>
      </c>
      <c r="N298" s="18">
        <f t="shared" si="19"/>
        <v>183500.00000000049</v>
      </c>
    </row>
    <row r="299" spans="10:14">
      <c r="J299" s="13">
        <f t="shared" si="17"/>
        <v>50000</v>
      </c>
      <c r="K299" s="13">
        <v>3.6800000000000201E-2</v>
      </c>
      <c r="L299" s="13">
        <v>3.6900000000000102</v>
      </c>
      <c r="M299" s="18">
        <f t="shared" si="18"/>
        <v>184500.00000000049</v>
      </c>
      <c r="N299" s="18">
        <f t="shared" si="19"/>
        <v>184000.00000000049</v>
      </c>
    </row>
    <row r="300" spans="10:14">
      <c r="J300" s="13">
        <f t="shared" si="17"/>
        <v>50000</v>
      </c>
      <c r="K300" s="13">
        <v>3.6900000000000197E-2</v>
      </c>
      <c r="L300" s="13">
        <v>3.7000000000000099</v>
      </c>
      <c r="M300" s="18">
        <f t="shared" si="18"/>
        <v>185000.00000000049</v>
      </c>
      <c r="N300" s="18">
        <f t="shared" si="19"/>
        <v>184500.00000000049</v>
      </c>
    </row>
    <row r="301" spans="10:14">
      <c r="J301" s="13">
        <f t="shared" si="17"/>
        <v>50000</v>
      </c>
      <c r="K301" s="13">
        <v>3.7000000000000199E-2</v>
      </c>
      <c r="L301" s="13">
        <v>3.7100000000000102</v>
      </c>
      <c r="M301" s="18">
        <f t="shared" si="18"/>
        <v>185500.00000000049</v>
      </c>
      <c r="N301" s="18">
        <f t="shared" si="19"/>
        <v>185000.00000000049</v>
      </c>
    </row>
    <row r="302" spans="10:14">
      <c r="J302" s="13">
        <f t="shared" si="17"/>
        <v>50000</v>
      </c>
      <c r="K302" s="13">
        <v>3.7100000000000202E-2</v>
      </c>
      <c r="L302" s="13">
        <v>3.72</v>
      </c>
      <c r="M302" s="18">
        <f t="shared" si="18"/>
        <v>186000</v>
      </c>
      <c r="N302" s="18">
        <f t="shared" si="19"/>
        <v>185500</v>
      </c>
    </row>
    <row r="303" spans="10:14">
      <c r="J303" s="13">
        <f t="shared" si="17"/>
        <v>50000</v>
      </c>
      <c r="K303" s="13">
        <v>3.7200000000000198E-2</v>
      </c>
      <c r="L303" s="13">
        <v>3.73</v>
      </c>
      <c r="M303" s="18">
        <f t="shared" si="18"/>
        <v>186500</v>
      </c>
      <c r="N303" s="18">
        <f t="shared" si="19"/>
        <v>186000</v>
      </c>
    </row>
    <row r="304" spans="10:14">
      <c r="J304" s="13">
        <f t="shared" si="17"/>
        <v>50000</v>
      </c>
      <c r="K304" s="13">
        <v>3.7300000000000201E-2</v>
      </c>
      <c r="L304" s="13">
        <v>3.74</v>
      </c>
      <c r="M304" s="18">
        <f t="shared" si="18"/>
        <v>187000</v>
      </c>
      <c r="N304" s="18">
        <f t="shared" si="19"/>
        <v>186500</v>
      </c>
    </row>
    <row r="305" spans="10:14">
      <c r="J305" s="13">
        <f t="shared" si="17"/>
        <v>50000</v>
      </c>
      <c r="K305" s="13">
        <v>3.74000000000001E-2</v>
      </c>
      <c r="L305" s="13">
        <v>3.75</v>
      </c>
      <c r="M305" s="18">
        <f t="shared" si="18"/>
        <v>187500</v>
      </c>
      <c r="N305" s="18">
        <f t="shared" si="19"/>
        <v>187000</v>
      </c>
    </row>
    <row r="306" spans="10:14">
      <c r="J306" s="13">
        <f t="shared" si="17"/>
        <v>50000</v>
      </c>
      <c r="K306" s="13">
        <v>3.75000000000002E-2</v>
      </c>
      <c r="L306" s="13">
        <v>3.76</v>
      </c>
      <c r="M306" s="18">
        <f t="shared" si="18"/>
        <v>188000</v>
      </c>
      <c r="N306" s="18">
        <f t="shared" si="19"/>
        <v>187500</v>
      </c>
    </row>
    <row r="307" spans="10:14">
      <c r="J307" s="13">
        <f t="shared" si="17"/>
        <v>50000</v>
      </c>
      <c r="K307" s="13">
        <v>3.7600000000000099E-2</v>
      </c>
      <c r="L307" s="13">
        <v>3.77</v>
      </c>
      <c r="M307" s="18">
        <f t="shared" si="18"/>
        <v>188500</v>
      </c>
      <c r="N307" s="18">
        <f t="shared" si="19"/>
        <v>188000</v>
      </c>
    </row>
    <row r="308" spans="10:14">
      <c r="J308" s="13">
        <f t="shared" si="17"/>
        <v>50000</v>
      </c>
      <c r="K308" s="13">
        <v>3.7700000000000199E-2</v>
      </c>
      <c r="L308" s="13">
        <v>3.78</v>
      </c>
      <c r="M308" s="18">
        <f t="shared" si="18"/>
        <v>189000</v>
      </c>
      <c r="N308" s="18">
        <f t="shared" si="19"/>
        <v>188500</v>
      </c>
    </row>
    <row r="309" spans="10:14">
      <c r="J309" s="13">
        <f t="shared" si="17"/>
        <v>50000</v>
      </c>
      <c r="K309" s="13">
        <v>3.7800000000000201E-2</v>
      </c>
      <c r="L309" s="13">
        <v>3.79</v>
      </c>
      <c r="M309" s="18">
        <f t="shared" si="18"/>
        <v>189500</v>
      </c>
      <c r="N309" s="18">
        <f t="shared" si="19"/>
        <v>189000</v>
      </c>
    </row>
    <row r="310" spans="10:14">
      <c r="J310" s="13">
        <f t="shared" si="17"/>
        <v>50000</v>
      </c>
      <c r="K310" s="13">
        <v>3.79000000000001E-2</v>
      </c>
      <c r="L310" s="13">
        <v>3.8</v>
      </c>
      <c r="M310" s="18">
        <f t="shared" si="18"/>
        <v>190000</v>
      </c>
      <c r="N310" s="18">
        <f t="shared" si="19"/>
        <v>189500</v>
      </c>
    </row>
    <row r="311" spans="10:14">
      <c r="J311" s="13">
        <f t="shared" si="17"/>
        <v>50000</v>
      </c>
      <c r="K311" s="13">
        <v>3.80000000000002E-2</v>
      </c>
      <c r="L311" s="13">
        <v>3.81</v>
      </c>
      <c r="M311" s="18">
        <f t="shared" si="18"/>
        <v>190500</v>
      </c>
      <c r="N311" s="18">
        <f t="shared" si="19"/>
        <v>190000</v>
      </c>
    </row>
    <row r="312" spans="10:14">
      <c r="J312" s="13">
        <f t="shared" si="17"/>
        <v>50000</v>
      </c>
      <c r="K312" s="13">
        <v>3.8100000000000099E-2</v>
      </c>
      <c r="L312" s="13">
        <v>3.82</v>
      </c>
      <c r="M312" s="18">
        <f t="shared" si="18"/>
        <v>191000</v>
      </c>
      <c r="N312" s="18">
        <f t="shared" si="19"/>
        <v>190500</v>
      </c>
    </row>
    <row r="313" spans="10:14">
      <c r="J313" s="13">
        <f t="shared" si="17"/>
        <v>50000</v>
      </c>
      <c r="K313" s="13">
        <v>3.8200000000000199E-2</v>
      </c>
      <c r="L313" s="13">
        <v>3.83</v>
      </c>
      <c r="M313" s="18">
        <f t="shared" si="18"/>
        <v>191500</v>
      </c>
      <c r="N313" s="18">
        <f t="shared" si="19"/>
        <v>191000</v>
      </c>
    </row>
    <row r="314" spans="10:14">
      <c r="J314" s="13">
        <f t="shared" si="17"/>
        <v>50000</v>
      </c>
      <c r="K314" s="13">
        <v>3.8300000000000202E-2</v>
      </c>
      <c r="L314" s="13">
        <v>3.84</v>
      </c>
      <c r="M314" s="18">
        <f t="shared" si="18"/>
        <v>192000</v>
      </c>
      <c r="N314" s="18">
        <f t="shared" si="19"/>
        <v>191500</v>
      </c>
    </row>
    <row r="315" spans="10:14">
      <c r="J315" s="13">
        <f t="shared" si="17"/>
        <v>50000</v>
      </c>
      <c r="K315" s="13">
        <v>3.8400000000000101E-2</v>
      </c>
      <c r="L315" s="13">
        <v>3.85</v>
      </c>
      <c r="M315" s="18">
        <f t="shared" si="18"/>
        <v>192500</v>
      </c>
      <c r="N315" s="18">
        <f t="shared" si="19"/>
        <v>192000</v>
      </c>
    </row>
    <row r="316" spans="10:14">
      <c r="J316" s="13">
        <f t="shared" si="17"/>
        <v>50000</v>
      </c>
      <c r="K316" s="13">
        <v>3.8500000000000201E-2</v>
      </c>
      <c r="L316" s="13">
        <v>3.86</v>
      </c>
      <c r="M316" s="18">
        <f t="shared" si="18"/>
        <v>193000</v>
      </c>
      <c r="N316" s="18">
        <f t="shared" si="19"/>
        <v>192500</v>
      </c>
    </row>
    <row r="317" spans="10:14">
      <c r="J317" s="13">
        <f t="shared" si="17"/>
        <v>50000</v>
      </c>
      <c r="K317" s="13">
        <v>3.86000000000001E-2</v>
      </c>
      <c r="L317" s="13">
        <v>3.87</v>
      </c>
      <c r="M317" s="18">
        <f t="shared" si="18"/>
        <v>193500</v>
      </c>
      <c r="N317" s="18">
        <f t="shared" si="19"/>
        <v>193000</v>
      </c>
    </row>
    <row r="318" spans="10:14">
      <c r="J318" s="13">
        <f t="shared" si="17"/>
        <v>50000</v>
      </c>
      <c r="K318" s="13">
        <v>3.87000000000002E-2</v>
      </c>
      <c r="L318" s="13">
        <v>3.88</v>
      </c>
      <c r="M318" s="18">
        <f t="shared" si="18"/>
        <v>194000</v>
      </c>
      <c r="N318" s="18">
        <f t="shared" si="19"/>
        <v>193500</v>
      </c>
    </row>
    <row r="319" spans="10:14">
      <c r="J319" s="13">
        <f t="shared" si="17"/>
        <v>50000</v>
      </c>
      <c r="K319" s="13">
        <v>3.8800000000000202E-2</v>
      </c>
      <c r="L319" s="13">
        <v>3.89</v>
      </c>
      <c r="M319" s="18">
        <f t="shared" si="18"/>
        <v>194500</v>
      </c>
      <c r="N319" s="18">
        <f t="shared" si="19"/>
        <v>194000</v>
      </c>
    </row>
    <row r="320" spans="10:14">
      <c r="J320" s="13">
        <f t="shared" si="17"/>
        <v>50000</v>
      </c>
      <c r="K320" s="13">
        <v>3.8900000000000101E-2</v>
      </c>
      <c r="L320" s="13">
        <v>3.9</v>
      </c>
      <c r="M320" s="18">
        <f t="shared" si="18"/>
        <v>195000</v>
      </c>
      <c r="N320" s="18">
        <f t="shared" si="19"/>
        <v>194500</v>
      </c>
    </row>
    <row r="321" spans="10:14">
      <c r="J321" s="13">
        <f t="shared" si="17"/>
        <v>50000</v>
      </c>
      <c r="K321" s="13">
        <v>3.9000000000000097E-2</v>
      </c>
      <c r="L321" s="13">
        <v>3.91</v>
      </c>
      <c r="M321" s="18">
        <f t="shared" si="18"/>
        <v>195500</v>
      </c>
      <c r="N321" s="18">
        <f t="shared" si="19"/>
        <v>195000</v>
      </c>
    </row>
    <row r="322" spans="10:14">
      <c r="J322" s="13">
        <f t="shared" si="17"/>
        <v>50000</v>
      </c>
      <c r="K322" s="13">
        <v>3.91000000000001E-2</v>
      </c>
      <c r="L322" s="13">
        <v>3.92</v>
      </c>
      <c r="M322" s="18">
        <f t="shared" si="18"/>
        <v>196000</v>
      </c>
      <c r="N322" s="18">
        <f t="shared" si="19"/>
        <v>195500</v>
      </c>
    </row>
    <row r="323" spans="10:14">
      <c r="J323" s="13">
        <f t="shared" si="17"/>
        <v>50000</v>
      </c>
      <c r="K323" s="13">
        <v>3.9200000000000103E-2</v>
      </c>
      <c r="L323" s="13">
        <v>3.93</v>
      </c>
      <c r="M323" s="18">
        <f t="shared" si="18"/>
        <v>196500</v>
      </c>
      <c r="N323" s="18">
        <f t="shared" si="19"/>
        <v>196000</v>
      </c>
    </row>
    <row r="324" spans="10:14">
      <c r="J324" s="13">
        <f t="shared" si="17"/>
        <v>50000</v>
      </c>
      <c r="K324" s="13">
        <v>3.9300000000000099E-2</v>
      </c>
      <c r="L324" s="13">
        <v>3.94</v>
      </c>
      <c r="M324" s="18">
        <f t="shared" si="18"/>
        <v>197000</v>
      </c>
      <c r="N324" s="18">
        <f t="shared" si="19"/>
        <v>196500</v>
      </c>
    </row>
    <row r="325" spans="10:14">
      <c r="J325" s="13">
        <f t="shared" si="17"/>
        <v>50000</v>
      </c>
      <c r="K325" s="13">
        <v>3.9400000000000102E-2</v>
      </c>
      <c r="L325" s="13">
        <v>3.95</v>
      </c>
      <c r="M325" s="18">
        <f t="shared" si="18"/>
        <v>197500</v>
      </c>
      <c r="N325" s="18">
        <f t="shared" si="19"/>
        <v>197000</v>
      </c>
    </row>
    <row r="326" spans="10:14">
      <c r="J326" s="13">
        <f t="shared" si="17"/>
        <v>50000</v>
      </c>
      <c r="K326" s="13">
        <v>3.9500000000000098E-2</v>
      </c>
      <c r="L326" s="13">
        <v>3.96</v>
      </c>
      <c r="M326" s="18">
        <f t="shared" si="18"/>
        <v>198000</v>
      </c>
      <c r="N326" s="18">
        <f t="shared" si="19"/>
        <v>197500</v>
      </c>
    </row>
    <row r="327" spans="10:14">
      <c r="J327" s="13">
        <f t="shared" si="17"/>
        <v>50000</v>
      </c>
      <c r="K327" s="13">
        <v>3.96000000000001E-2</v>
      </c>
      <c r="L327" s="13">
        <v>3.97</v>
      </c>
      <c r="M327" s="18">
        <f t="shared" si="18"/>
        <v>198500</v>
      </c>
      <c r="N327" s="18">
        <f t="shared" si="19"/>
        <v>198000</v>
      </c>
    </row>
    <row r="328" spans="10:14">
      <c r="J328" s="13">
        <f t="shared" si="17"/>
        <v>50000</v>
      </c>
      <c r="K328" s="13">
        <v>3.9700000000000103E-2</v>
      </c>
      <c r="L328" s="13">
        <v>3.98</v>
      </c>
      <c r="M328" s="18">
        <f t="shared" si="18"/>
        <v>199000</v>
      </c>
      <c r="N328" s="18">
        <f t="shared" si="19"/>
        <v>198500</v>
      </c>
    </row>
    <row r="329" spans="10:14">
      <c r="J329" s="13">
        <f t="shared" si="17"/>
        <v>50000</v>
      </c>
      <c r="K329" s="13">
        <v>3.9800000000000099E-2</v>
      </c>
      <c r="L329" s="13">
        <v>3.99</v>
      </c>
      <c r="M329" s="18">
        <f t="shared" si="18"/>
        <v>199500</v>
      </c>
      <c r="N329" s="18">
        <f t="shared" si="19"/>
        <v>199000</v>
      </c>
    </row>
    <row r="330" spans="10:14">
      <c r="J330" s="13">
        <f t="shared" si="17"/>
        <v>50000</v>
      </c>
      <c r="K330" s="13">
        <v>3.9900000000000102E-2</v>
      </c>
      <c r="L330" s="13">
        <v>4</v>
      </c>
      <c r="M330" s="18">
        <f t="shared" si="18"/>
        <v>200000</v>
      </c>
      <c r="N330" s="18">
        <f t="shared" si="19"/>
        <v>199500</v>
      </c>
    </row>
    <row r="331" spans="10:14">
      <c r="J331" s="13">
        <f t="shared" si="17"/>
        <v>50000</v>
      </c>
      <c r="K331" s="13">
        <v>4.0000000000000098E-2</v>
      </c>
      <c r="L331" s="13">
        <v>4.01</v>
      </c>
      <c r="M331" s="18">
        <f t="shared" si="18"/>
        <v>200500</v>
      </c>
      <c r="N331" s="18">
        <f t="shared" si="19"/>
        <v>200000</v>
      </c>
    </row>
    <row r="332" spans="10:14">
      <c r="J332" s="13">
        <f t="shared" si="17"/>
        <v>50000</v>
      </c>
      <c r="K332" s="13">
        <v>4.0100000000000101E-2</v>
      </c>
      <c r="L332" s="13">
        <v>4.0199999999999996</v>
      </c>
      <c r="M332" s="18">
        <f t="shared" si="18"/>
        <v>200999.99999999997</v>
      </c>
      <c r="N332" s="18">
        <f t="shared" si="19"/>
        <v>200499.99999999997</v>
      </c>
    </row>
    <row r="333" spans="10:14">
      <c r="J333" s="13">
        <f t="shared" si="17"/>
        <v>50000</v>
      </c>
      <c r="K333" s="13">
        <v>4.0200000000000097E-2</v>
      </c>
      <c r="L333" s="13">
        <v>4.03</v>
      </c>
      <c r="M333" s="18">
        <f t="shared" si="18"/>
        <v>201500</v>
      </c>
      <c r="N333" s="18">
        <f t="shared" si="19"/>
        <v>201000</v>
      </c>
    </row>
    <row r="334" spans="10:14">
      <c r="J334" s="13">
        <f t="shared" si="17"/>
        <v>50000</v>
      </c>
      <c r="K334" s="13">
        <v>4.03000000000001E-2</v>
      </c>
      <c r="L334" s="13">
        <v>4.04</v>
      </c>
      <c r="M334" s="18">
        <f t="shared" si="18"/>
        <v>202000</v>
      </c>
      <c r="N334" s="18">
        <f t="shared" si="19"/>
        <v>201500</v>
      </c>
    </row>
    <row r="335" spans="10:14">
      <c r="J335" s="13">
        <f t="shared" si="17"/>
        <v>50000</v>
      </c>
      <c r="K335" s="13">
        <v>4.0400000000000102E-2</v>
      </c>
      <c r="L335" s="13">
        <v>4.05</v>
      </c>
      <c r="M335" s="18">
        <f t="shared" si="18"/>
        <v>202500</v>
      </c>
      <c r="N335" s="18">
        <f t="shared" si="19"/>
        <v>202000</v>
      </c>
    </row>
    <row r="336" spans="10:14">
      <c r="J336" s="13">
        <f t="shared" si="17"/>
        <v>50000</v>
      </c>
      <c r="K336" s="13">
        <v>4.0500000000000098E-2</v>
      </c>
      <c r="L336" s="13">
        <v>4.0599999999999996</v>
      </c>
      <c r="M336" s="18">
        <f t="shared" si="18"/>
        <v>202999.99999999997</v>
      </c>
      <c r="N336" s="18">
        <f t="shared" si="19"/>
        <v>202499.99999999997</v>
      </c>
    </row>
    <row r="337" spans="10:14">
      <c r="J337" s="13">
        <f t="shared" si="17"/>
        <v>50000</v>
      </c>
      <c r="K337" s="13">
        <v>4.0600000000000101E-2</v>
      </c>
      <c r="L337" s="13">
        <v>4.07</v>
      </c>
      <c r="M337" s="18">
        <f t="shared" si="18"/>
        <v>203500</v>
      </c>
      <c r="N337" s="18">
        <f t="shared" si="19"/>
        <v>203000</v>
      </c>
    </row>
    <row r="338" spans="10:14">
      <c r="J338" s="13">
        <f t="shared" si="17"/>
        <v>50000</v>
      </c>
      <c r="K338" s="13">
        <v>4.0700000000000097E-2</v>
      </c>
      <c r="L338" s="13">
        <v>4.08</v>
      </c>
      <c r="M338" s="18">
        <f t="shared" si="18"/>
        <v>204000</v>
      </c>
      <c r="N338" s="18">
        <f t="shared" si="19"/>
        <v>203500</v>
      </c>
    </row>
    <row r="339" spans="10:14">
      <c r="J339" s="13">
        <f t="shared" si="17"/>
        <v>50000</v>
      </c>
      <c r="K339" s="13">
        <v>4.08000000000001E-2</v>
      </c>
      <c r="L339" s="13">
        <v>4.09</v>
      </c>
      <c r="M339" s="18">
        <f t="shared" si="18"/>
        <v>204500</v>
      </c>
      <c r="N339" s="18">
        <f t="shared" si="19"/>
        <v>204000</v>
      </c>
    </row>
    <row r="340" spans="10:14">
      <c r="J340" s="13">
        <f t="shared" si="17"/>
        <v>50000</v>
      </c>
      <c r="K340" s="13">
        <v>4.0900000000000103E-2</v>
      </c>
      <c r="L340" s="13">
        <v>4.0999999999999996</v>
      </c>
      <c r="M340" s="18">
        <f t="shared" si="18"/>
        <v>204999.99999999997</v>
      </c>
      <c r="N340" s="18">
        <f t="shared" si="19"/>
        <v>204499.99999999997</v>
      </c>
    </row>
    <row r="341" spans="10:14">
      <c r="J341" s="13">
        <f t="shared" si="17"/>
        <v>50000</v>
      </c>
      <c r="K341" s="13">
        <v>4.1000000000000099E-2</v>
      </c>
      <c r="L341" s="13">
        <v>4.1100000000000003</v>
      </c>
      <c r="M341" s="18">
        <f t="shared" si="18"/>
        <v>205500.00000000003</v>
      </c>
      <c r="N341" s="18">
        <f t="shared" si="19"/>
        <v>205000.00000000003</v>
      </c>
    </row>
    <row r="342" spans="10:14">
      <c r="J342" s="13">
        <f t="shared" si="17"/>
        <v>50000</v>
      </c>
      <c r="K342" s="13">
        <v>4.1100000000000102E-2</v>
      </c>
      <c r="L342" s="13">
        <v>4.12</v>
      </c>
      <c r="M342" s="18">
        <f t="shared" si="18"/>
        <v>206000</v>
      </c>
      <c r="N342" s="18">
        <f t="shared" si="19"/>
        <v>205500</v>
      </c>
    </row>
    <row r="343" spans="10:14">
      <c r="J343" s="13">
        <f t="shared" si="17"/>
        <v>50000</v>
      </c>
      <c r="K343" s="13">
        <v>4.1200000000000098E-2</v>
      </c>
      <c r="L343" s="13">
        <v>4.13</v>
      </c>
      <c r="M343" s="18">
        <f t="shared" si="18"/>
        <v>206500</v>
      </c>
      <c r="N343" s="18">
        <f t="shared" si="19"/>
        <v>206000</v>
      </c>
    </row>
    <row r="344" spans="10:14">
      <c r="J344" s="13">
        <f t="shared" si="17"/>
        <v>50000</v>
      </c>
      <c r="K344" s="13">
        <v>4.1300000000000101E-2</v>
      </c>
      <c r="L344" s="13">
        <v>4.1399999999999997</v>
      </c>
      <c r="M344" s="18">
        <f t="shared" si="18"/>
        <v>206999.99999999997</v>
      </c>
      <c r="N344" s="18">
        <f t="shared" si="19"/>
        <v>206499.99999999997</v>
      </c>
    </row>
    <row r="345" spans="10:14">
      <c r="J345" s="13">
        <f t="shared" si="17"/>
        <v>50000</v>
      </c>
      <c r="K345" s="13">
        <v>4.1400000000000103E-2</v>
      </c>
      <c r="L345" s="13">
        <v>4.1500000000000004</v>
      </c>
      <c r="M345" s="18">
        <f t="shared" si="18"/>
        <v>207500.00000000003</v>
      </c>
      <c r="N345" s="18">
        <f t="shared" si="19"/>
        <v>207000.00000000003</v>
      </c>
    </row>
    <row r="346" spans="10:14">
      <c r="J346" s="13">
        <f t="shared" si="17"/>
        <v>50000</v>
      </c>
      <c r="K346" s="13">
        <v>4.1500000000000099E-2</v>
      </c>
      <c r="L346" s="13">
        <v>4.16</v>
      </c>
      <c r="M346" s="18">
        <f t="shared" si="18"/>
        <v>208000</v>
      </c>
      <c r="N346" s="18">
        <f t="shared" si="19"/>
        <v>207500</v>
      </c>
    </row>
    <row r="347" spans="10:14">
      <c r="J347" s="13">
        <f t="shared" si="17"/>
        <v>50000</v>
      </c>
      <c r="K347" s="13">
        <v>4.1600000000000102E-2</v>
      </c>
      <c r="L347" s="13">
        <v>4.1699999999999902</v>
      </c>
      <c r="M347" s="18">
        <f t="shared" si="18"/>
        <v>208499.99999999951</v>
      </c>
      <c r="N347" s="18">
        <f t="shared" si="19"/>
        <v>207999.99999999951</v>
      </c>
    </row>
    <row r="348" spans="10:14">
      <c r="J348" s="13">
        <f t="shared" si="17"/>
        <v>50000</v>
      </c>
      <c r="K348" s="13">
        <v>4.1700000000000098E-2</v>
      </c>
      <c r="L348" s="13">
        <v>4.1799999999999899</v>
      </c>
      <c r="M348" s="18">
        <f t="shared" si="18"/>
        <v>208999.99999999951</v>
      </c>
      <c r="N348" s="18">
        <f t="shared" si="19"/>
        <v>208499.99999999951</v>
      </c>
    </row>
    <row r="349" spans="10:14">
      <c r="J349" s="13">
        <f t="shared" si="17"/>
        <v>50000</v>
      </c>
      <c r="K349" s="13">
        <v>4.1800000000000101E-2</v>
      </c>
      <c r="L349" s="13">
        <v>4.1899999999999897</v>
      </c>
      <c r="M349" s="18">
        <f t="shared" si="18"/>
        <v>209499.99999999948</v>
      </c>
      <c r="N349" s="18">
        <f t="shared" si="19"/>
        <v>208999.99999999948</v>
      </c>
    </row>
    <row r="350" spans="10:14">
      <c r="J350" s="13">
        <f t="shared" si="17"/>
        <v>50000</v>
      </c>
      <c r="K350" s="13">
        <v>4.1900000000000097E-2</v>
      </c>
      <c r="L350" s="13">
        <v>4.1999999999999904</v>
      </c>
      <c r="M350" s="18">
        <f t="shared" si="18"/>
        <v>209999.99999999953</v>
      </c>
      <c r="N350" s="18">
        <f t="shared" si="19"/>
        <v>209499.99999999953</v>
      </c>
    </row>
    <row r="351" spans="10:14">
      <c r="J351" s="13">
        <f t="shared" si="17"/>
        <v>50000</v>
      </c>
      <c r="K351" s="13">
        <v>4.20000000000001E-2</v>
      </c>
      <c r="L351" s="13">
        <v>4.2099999999999902</v>
      </c>
      <c r="M351" s="18">
        <f t="shared" si="18"/>
        <v>210499.99999999951</v>
      </c>
      <c r="N351" s="18">
        <f t="shared" si="19"/>
        <v>209999.99999999951</v>
      </c>
    </row>
    <row r="352" spans="10:14">
      <c r="J352" s="13">
        <f t="shared" ref="J352:J415" si="20">$F$13</f>
        <v>50000</v>
      </c>
      <c r="K352" s="13">
        <v>4.2100000000000103E-2</v>
      </c>
      <c r="L352" s="13">
        <v>4.21999999999999</v>
      </c>
      <c r="M352" s="18">
        <f t="shared" ref="M352:M415" si="21">J352*L352</f>
        <v>210999.99999999951</v>
      </c>
      <c r="N352" s="18">
        <f t="shared" ref="N352:N415" si="22">M352-J352*0.01</f>
        <v>210499.99999999951</v>
      </c>
    </row>
    <row r="353" spans="10:14">
      <c r="J353" s="13">
        <f t="shared" si="20"/>
        <v>50000</v>
      </c>
      <c r="K353" s="13">
        <v>4.2200000000000099E-2</v>
      </c>
      <c r="L353" s="13">
        <v>4.2299999999999898</v>
      </c>
      <c r="M353" s="18">
        <f t="shared" si="21"/>
        <v>211499.99999999948</v>
      </c>
      <c r="N353" s="18">
        <f t="shared" si="22"/>
        <v>210999.99999999948</v>
      </c>
    </row>
    <row r="354" spans="10:14">
      <c r="J354" s="13">
        <f t="shared" si="20"/>
        <v>50000</v>
      </c>
      <c r="K354" s="13">
        <v>4.2300000000000101E-2</v>
      </c>
      <c r="L354" s="13">
        <v>4.2399999999999904</v>
      </c>
      <c r="M354" s="18">
        <f t="shared" si="21"/>
        <v>211999.99999999953</v>
      </c>
      <c r="N354" s="18">
        <f t="shared" si="22"/>
        <v>211499.99999999953</v>
      </c>
    </row>
    <row r="355" spans="10:14">
      <c r="J355" s="13">
        <f t="shared" si="20"/>
        <v>50000</v>
      </c>
      <c r="K355" s="13">
        <v>4.2400000000000097E-2</v>
      </c>
      <c r="L355" s="13">
        <v>4.2499999999999902</v>
      </c>
      <c r="M355" s="18">
        <f t="shared" si="21"/>
        <v>212499.99999999951</v>
      </c>
      <c r="N355" s="18">
        <f t="shared" si="22"/>
        <v>211999.99999999951</v>
      </c>
    </row>
    <row r="356" spans="10:14">
      <c r="J356" s="13">
        <f t="shared" si="20"/>
        <v>50000</v>
      </c>
      <c r="K356" s="13">
        <v>4.25000000000001E-2</v>
      </c>
      <c r="L356" s="13">
        <v>4.25999999999999</v>
      </c>
      <c r="M356" s="18">
        <f t="shared" si="21"/>
        <v>212999.99999999951</v>
      </c>
      <c r="N356" s="18">
        <f t="shared" si="22"/>
        <v>212499.99999999951</v>
      </c>
    </row>
    <row r="357" spans="10:14">
      <c r="J357" s="13">
        <f t="shared" si="20"/>
        <v>50000</v>
      </c>
      <c r="K357" s="13">
        <v>4.2600000000000103E-2</v>
      </c>
      <c r="L357" s="13">
        <v>4.2699999999999898</v>
      </c>
      <c r="M357" s="18">
        <f t="shared" si="21"/>
        <v>213499.99999999948</v>
      </c>
      <c r="N357" s="18">
        <f t="shared" si="22"/>
        <v>212999.99999999948</v>
      </c>
    </row>
    <row r="358" spans="10:14">
      <c r="J358" s="13">
        <f t="shared" si="20"/>
        <v>50000</v>
      </c>
      <c r="K358" s="13">
        <v>4.2700000000000099E-2</v>
      </c>
      <c r="L358" s="13">
        <v>4.2799999999999896</v>
      </c>
      <c r="M358" s="18">
        <f t="shared" si="21"/>
        <v>213999.99999999948</v>
      </c>
      <c r="N358" s="18">
        <f t="shared" si="22"/>
        <v>213499.99999999948</v>
      </c>
    </row>
    <row r="359" spans="10:14">
      <c r="J359" s="13">
        <f t="shared" si="20"/>
        <v>50000</v>
      </c>
      <c r="K359" s="13">
        <v>4.2800000000000102E-2</v>
      </c>
      <c r="L359" s="13">
        <v>4.2899999999999903</v>
      </c>
      <c r="M359" s="18">
        <f t="shared" si="21"/>
        <v>214499.99999999951</v>
      </c>
      <c r="N359" s="18">
        <f t="shared" si="22"/>
        <v>213999.99999999951</v>
      </c>
    </row>
    <row r="360" spans="10:14">
      <c r="J360" s="13">
        <f t="shared" si="20"/>
        <v>50000</v>
      </c>
      <c r="K360" s="13">
        <v>4.2900000000000098E-2</v>
      </c>
      <c r="L360" s="13">
        <v>4.2999999999999901</v>
      </c>
      <c r="M360" s="18">
        <f t="shared" si="21"/>
        <v>214999.99999999951</v>
      </c>
      <c r="N360" s="18">
        <f t="shared" si="22"/>
        <v>214499.99999999951</v>
      </c>
    </row>
    <row r="361" spans="10:14">
      <c r="J361" s="13">
        <f t="shared" si="20"/>
        <v>50000</v>
      </c>
      <c r="K361" s="13">
        <v>4.3000000000000101E-2</v>
      </c>
      <c r="L361" s="13">
        <v>4.3099999999999898</v>
      </c>
      <c r="M361" s="18">
        <f t="shared" si="21"/>
        <v>215499.99999999951</v>
      </c>
      <c r="N361" s="18">
        <f t="shared" si="22"/>
        <v>214999.99999999951</v>
      </c>
    </row>
    <row r="362" spans="10:14">
      <c r="J362" s="13">
        <f t="shared" si="20"/>
        <v>50000</v>
      </c>
      <c r="K362" s="13">
        <v>4.3100000000000097E-2</v>
      </c>
      <c r="L362" s="13">
        <v>4.3199999999999896</v>
      </c>
      <c r="M362" s="18">
        <f t="shared" si="21"/>
        <v>215999.99999999948</v>
      </c>
      <c r="N362" s="18">
        <f t="shared" si="22"/>
        <v>215499.99999999948</v>
      </c>
    </row>
    <row r="363" spans="10:14">
      <c r="J363" s="13">
        <f t="shared" si="20"/>
        <v>50000</v>
      </c>
      <c r="K363" s="13">
        <v>4.3200000000000099E-2</v>
      </c>
      <c r="L363" s="13">
        <v>4.3299999999999903</v>
      </c>
      <c r="M363" s="18">
        <f t="shared" si="21"/>
        <v>216499.99999999951</v>
      </c>
      <c r="N363" s="18">
        <f t="shared" si="22"/>
        <v>215999.99999999951</v>
      </c>
    </row>
    <row r="364" spans="10:14">
      <c r="J364" s="13">
        <f t="shared" si="20"/>
        <v>50000</v>
      </c>
      <c r="K364" s="13">
        <v>4.3300000000000102E-2</v>
      </c>
      <c r="L364" s="13">
        <v>4.3399999999999901</v>
      </c>
      <c r="M364" s="18">
        <f t="shared" si="21"/>
        <v>216999.99999999951</v>
      </c>
      <c r="N364" s="18">
        <f t="shared" si="22"/>
        <v>216499.99999999951</v>
      </c>
    </row>
    <row r="365" spans="10:14">
      <c r="J365" s="13">
        <f t="shared" si="20"/>
        <v>50000</v>
      </c>
      <c r="K365" s="13">
        <v>4.3400000000000098E-2</v>
      </c>
      <c r="L365" s="13">
        <v>4.3499999999999899</v>
      </c>
      <c r="M365" s="18">
        <f t="shared" si="21"/>
        <v>217499.99999999951</v>
      </c>
      <c r="N365" s="18">
        <f t="shared" si="22"/>
        <v>216999.99999999951</v>
      </c>
    </row>
    <row r="366" spans="10:14">
      <c r="J366" s="13">
        <f t="shared" si="20"/>
        <v>50000</v>
      </c>
      <c r="K366" s="13">
        <v>4.3500000000000101E-2</v>
      </c>
      <c r="L366" s="13">
        <v>4.3599999999999897</v>
      </c>
      <c r="M366" s="18">
        <f t="shared" si="21"/>
        <v>217999.99999999948</v>
      </c>
      <c r="N366" s="18">
        <f t="shared" si="22"/>
        <v>217499.99999999948</v>
      </c>
    </row>
    <row r="367" spans="10:14">
      <c r="J367" s="13">
        <f t="shared" si="20"/>
        <v>50000</v>
      </c>
      <c r="K367" s="13">
        <v>4.3600000000000097E-2</v>
      </c>
      <c r="L367" s="13">
        <v>4.3699999999999903</v>
      </c>
      <c r="M367" s="18">
        <f t="shared" si="21"/>
        <v>218499.99999999951</v>
      </c>
      <c r="N367" s="18">
        <f t="shared" si="22"/>
        <v>217999.99999999951</v>
      </c>
    </row>
    <row r="368" spans="10:14">
      <c r="J368" s="13">
        <f t="shared" si="20"/>
        <v>50000</v>
      </c>
      <c r="K368" s="13">
        <v>4.37000000000001E-2</v>
      </c>
      <c r="L368" s="13">
        <v>4.3799999999999901</v>
      </c>
      <c r="M368" s="18">
        <f t="shared" si="21"/>
        <v>218999.99999999951</v>
      </c>
      <c r="N368" s="18">
        <f t="shared" si="22"/>
        <v>218499.99999999951</v>
      </c>
    </row>
    <row r="369" spans="10:14">
      <c r="J369" s="13">
        <f t="shared" si="20"/>
        <v>50000</v>
      </c>
      <c r="K369" s="13">
        <v>4.3800000000000103E-2</v>
      </c>
      <c r="L369" s="13">
        <v>4.3899999999999899</v>
      </c>
      <c r="M369" s="18">
        <f t="shared" si="21"/>
        <v>219499.99999999951</v>
      </c>
      <c r="N369" s="18">
        <f t="shared" si="22"/>
        <v>218999.99999999951</v>
      </c>
    </row>
    <row r="370" spans="10:14">
      <c r="J370" s="13">
        <f t="shared" si="20"/>
        <v>50000</v>
      </c>
      <c r="K370" s="13">
        <v>4.3900000000000099E-2</v>
      </c>
      <c r="L370" s="13">
        <v>4.3999999999999897</v>
      </c>
      <c r="M370" s="18">
        <f t="shared" si="21"/>
        <v>219999.99999999948</v>
      </c>
      <c r="N370" s="18">
        <f t="shared" si="22"/>
        <v>219499.99999999948</v>
      </c>
    </row>
    <row r="371" spans="10:14">
      <c r="J371" s="13">
        <f t="shared" si="20"/>
        <v>50000</v>
      </c>
      <c r="K371" s="13">
        <v>4.4000000000000102E-2</v>
      </c>
      <c r="L371" s="13">
        <v>4.4099999999999904</v>
      </c>
      <c r="M371" s="18">
        <f t="shared" si="21"/>
        <v>220499.99999999951</v>
      </c>
      <c r="N371" s="18">
        <f t="shared" si="22"/>
        <v>219999.99999999951</v>
      </c>
    </row>
    <row r="372" spans="10:14">
      <c r="J372" s="13">
        <f t="shared" si="20"/>
        <v>50000</v>
      </c>
      <c r="K372" s="13">
        <v>4.4100000000000097E-2</v>
      </c>
      <c r="L372" s="13">
        <v>4.4199999999999902</v>
      </c>
      <c r="M372" s="18">
        <f t="shared" si="21"/>
        <v>220999.99999999951</v>
      </c>
      <c r="N372" s="18">
        <f t="shared" si="22"/>
        <v>220499.99999999951</v>
      </c>
    </row>
    <row r="373" spans="10:14">
      <c r="J373" s="13">
        <f t="shared" si="20"/>
        <v>50000</v>
      </c>
      <c r="K373" s="13">
        <v>4.42000000000001E-2</v>
      </c>
      <c r="L373" s="13">
        <v>4.4299999999999899</v>
      </c>
      <c r="M373" s="18">
        <f t="shared" si="21"/>
        <v>221499.99999999951</v>
      </c>
      <c r="N373" s="18">
        <f t="shared" si="22"/>
        <v>220999.99999999951</v>
      </c>
    </row>
    <row r="374" spans="10:14">
      <c r="J374" s="13">
        <f t="shared" si="20"/>
        <v>50000</v>
      </c>
      <c r="K374" s="13">
        <v>4.4300000000000103E-2</v>
      </c>
      <c r="L374" s="13">
        <v>4.4399999999999897</v>
      </c>
      <c r="M374" s="18">
        <f t="shared" si="21"/>
        <v>221999.99999999948</v>
      </c>
      <c r="N374" s="18">
        <f t="shared" si="22"/>
        <v>221499.99999999948</v>
      </c>
    </row>
    <row r="375" spans="10:14">
      <c r="J375" s="13">
        <f t="shared" si="20"/>
        <v>50000</v>
      </c>
      <c r="K375" s="13">
        <v>4.4400000000000099E-2</v>
      </c>
      <c r="L375" s="13">
        <v>4.4499999999999904</v>
      </c>
      <c r="M375" s="18">
        <f t="shared" si="21"/>
        <v>222499.99999999953</v>
      </c>
      <c r="N375" s="18">
        <f t="shared" si="22"/>
        <v>221999.99999999953</v>
      </c>
    </row>
    <row r="376" spans="10:14">
      <c r="J376" s="13">
        <f t="shared" si="20"/>
        <v>50000</v>
      </c>
      <c r="K376" s="13">
        <v>4.4500000000000102E-2</v>
      </c>
      <c r="L376" s="13">
        <v>4.4599999999999902</v>
      </c>
      <c r="M376" s="18">
        <f t="shared" si="21"/>
        <v>222999.99999999951</v>
      </c>
      <c r="N376" s="18">
        <f t="shared" si="22"/>
        <v>222499.99999999951</v>
      </c>
    </row>
    <row r="377" spans="10:14">
      <c r="J377" s="13">
        <f t="shared" si="20"/>
        <v>50000</v>
      </c>
      <c r="K377" s="13">
        <v>4.4600000000000098E-2</v>
      </c>
      <c r="L377" s="13">
        <v>4.46999999999999</v>
      </c>
      <c r="M377" s="18">
        <f t="shared" si="21"/>
        <v>223499.99999999951</v>
      </c>
      <c r="N377" s="18">
        <f t="shared" si="22"/>
        <v>222999.99999999951</v>
      </c>
    </row>
    <row r="378" spans="10:14">
      <c r="J378" s="13">
        <f t="shared" si="20"/>
        <v>50000</v>
      </c>
      <c r="K378" s="13">
        <v>4.4700000000000101E-2</v>
      </c>
      <c r="L378" s="13">
        <v>4.4799999999999898</v>
      </c>
      <c r="M378" s="18">
        <f t="shared" si="21"/>
        <v>223999.99999999948</v>
      </c>
      <c r="N378" s="18">
        <f t="shared" si="22"/>
        <v>223499.99999999948</v>
      </c>
    </row>
    <row r="379" spans="10:14">
      <c r="J379" s="13">
        <f t="shared" si="20"/>
        <v>50000</v>
      </c>
      <c r="K379" s="13">
        <v>4.4800000000000097E-2</v>
      </c>
      <c r="L379" s="13">
        <v>4.4899999999999904</v>
      </c>
      <c r="M379" s="18">
        <f t="shared" si="21"/>
        <v>224499.99999999953</v>
      </c>
      <c r="N379" s="18">
        <f t="shared" si="22"/>
        <v>223999.99999999953</v>
      </c>
    </row>
    <row r="380" spans="10:14">
      <c r="J380" s="13">
        <f t="shared" si="20"/>
        <v>50000</v>
      </c>
      <c r="K380" s="13">
        <v>4.49000000000001E-2</v>
      </c>
      <c r="L380" s="13">
        <v>4.4999999999999902</v>
      </c>
      <c r="M380" s="18">
        <f t="shared" si="21"/>
        <v>224999.99999999951</v>
      </c>
      <c r="N380" s="18">
        <f t="shared" si="22"/>
        <v>224499.99999999951</v>
      </c>
    </row>
    <row r="381" spans="10:14">
      <c r="J381" s="13">
        <f t="shared" si="20"/>
        <v>50000</v>
      </c>
      <c r="K381" s="13">
        <v>4.5000000000000102E-2</v>
      </c>
      <c r="L381" s="13">
        <v>4.50999999999999</v>
      </c>
      <c r="M381" s="18">
        <f t="shared" si="21"/>
        <v>225499.99999999951</v>
      </c>
      <c r="N381" s="18">
        <f t="shared" si="22"/>
        <v>224999.99999999951</v>
      </c>
    </row>
    <row r="382" spans="10:14">
      <c r="J382" s="13">
        <f t="shared" si="20"/>
        <v>50000</v>
      </c>
      <c r="K382" s="13">
        <v>4.5100000000000098E-2</v>
      </c>
      <c r="L382" s="13">
        <v>4.5199999999999898</v>
      </c>
      <c r="M382" s="18">
        <f t="shared" si="21"/>
        <v>225999.99999999948</v>
      </c>
      <c r="N382" s="18">
        <f t="shared" si="22"/>
        <v>225499.99999999948</v>
      </c>
    </row>
    <row r="383" spans="10:14">
      <c r="J383" s="13">
        <f t="shared" si="20"/>
        <v>50000</v>
      </c>
      <c r="K383" s="13">
        <v>4.5200000000000101E-2</v>
      </c>
      <c r="L383" s="13">
        <v>4.5299999999999896</v>
      </c>
      <c r="M383" s="18">
        <f t="shared" si="21"/>
        <v>226499.99999999948</v>
      </c>
      <c r="N383" s="18">
        <f t="shared" si="22"/>
        <v>225999.99999999948</v>
      </c>
    </row>
    <row r="384" spans="10:14">
      <c r="J384" s="13">
        <f t="shared" si="20"/>
        <v>50000</v>
      </c>
      <c r="K384" s="13">
        <v>4.5300000000000097E-2</v>
      </c>
      <c r="L384" s="13">
        <v>4.5399999999999903</v>
      </c>
      <c r="M384" s="18">
        <f t="shared" si="21"/>
        <v>226999.99999999951</v>
      </c>
      <c r="N384" s="18">
        <f t="shared" si="22"/>
        <v>226499.99999999951</v>
      </c>
    </row>
    <row r="385" spans="10:14">
      <c r="J385" s="13">
        <f t="shared" si="20"/>
        <v>50000</v>
      </c>
      <c r="K385" s="13">
        <v>4.54000000000001E-2</v>
      </c>
      <c r="L385" s="13">
        <v>4.5499999999999901</v>
      </c>
      <c r="M385" s="18">
        <f t="shared" si="21"/>
        <v>227499.99999999951</v>
      </c>
      <c r="N385" s="18">
        <f t="shared" si="22"/>
        <v>226999.99999999951</v>
      </c>
    </row>
    <row r="386" spans="10:14">
      <c r="J386" s="13">
        <f t="shared" si="20"/>
        <v>50000</v>
      </c>
      <c r="K386" s="13">
        <v>4.5500000000000103E-2</v>
      </c>
      <c r="L386" s="13">
        <v>4.5599999999999898</v>
      </c>
      <c r="M386" s="18">
        <f t="shared" si="21"/>
        <v>227999.99999999951</v>
      </c>
      <c r="N386" s="18">
        <f t="shared" si="22"/>
        <v>227499.99999999951</v>
      </c>
    </row>
    <row r="387" spans="10:14">
      <c r="J387" s="13">
        <f t="shared" si="20"/>
        <v>50000</v>
      </c>
      <c r="K387" s="13">
        <v>4.5600000000000099E-2</v>
      </c>
      <c r="L387" s="13">
        <v>4.5699999999999896</v>
      </c>
      <c r="M387" s="18">
        <f t="shared" si="21"/>
        <v>228499.99999999948</v>
      </c>
      <c r="N387" s="18">
        <f t="shared" si="22"/>
        <v>227999.99999999948</v>
      </c>
    </row>
    <row r="388" spans="10:14">
      <c r="J388" s="13">
        <f t="shared" si="20"/>
        <v>50000</v>
      </c>
      <c r="K388" s="13">
        <v>4.5700000000000102E-2</v>
      </c>
      <c r="L388" s="13">
        <v>4.5799999999999903</v>
      </c>
      <c r="M388" s="18">
        <f t="shared" si="21"/>
        <v>228999.99999999951</v>
      </c>
      <c r="N388" s="18">
        <f t="shared" si="22"/>
        <v>228499.99999999951</v>
      </c>
    </row>
    <row r="389" spans="10:14">
      <c r="J389" s="13">
        <f t="shared" si="20"/>
        <v>50000</v>
      </c>
      <c r="K389" s="13">
        <v>4.5800000000000098E-2</v>
      </c>
      <c r="L389" s="13">
        <v>4.5899999999999901</v>
      </c>
      <c r="M389" s="18">
        <f t="shared" si="21"/>
        <v>229499.99999999951</v>
      </c>
      <c r="N389" s="18">
        <f t="shared" si="22"/>
        <v>228999.99999999951</v>
      </c>
    </row>
    <row r="390" spans="10:14">
      <c r="J390" s="13">
        <f t="shared" si="20"/>
        <v>50000</v>
      </c>
      <c r="K390" s="13">
        <v>4.59000000000001E-2</v>
      </c>
      <c r="L390" s="13">
        <v>4.5999999999999899</v>
      </c>
      <c r="M390" s="18">
        <f t="shared" si="21"/>
        <v>229999.99999999951</v>
      </c>
      <c r="N390" s="18">
        <f t="shared" si="22"/>
        <v>229499.99999999951</v>
      </c>
    </row>
    <row r="391" spans="10:14">
      <c r="J391" s="13">
        <f t="shared" si="20"/>
        <v>50000</v>
      </c>
      <c r="K391" s="13">
        <v>4.6000000000000103E-2</v>
      </c>
      <c r="L391" s="13">
        <v>4.6099999999999897</v>
      </c>
      <c r="M391" s="18">
        <f t="shared" si="21"/>
        <v>230499.99999999948</v>
      </c>
      <c r="N391" s="18">
        <f t="shared" si="22"/>
        <v>229999.99999999948</v>
      </c>
    </row>
    <row r="392" spans="10:14">
      <c r="J392" s="13">
        <f t="shared" si="20"/>
        <v>50000</v>
      </c>
      <c r="K392" s="13">
        <v>4.6100000000000099E-2</v>
      </c>
      <c r="L392" s="13">
        <v>4.6199999999999903</v>
      </c>
      <c r="M392" s="18">
        <f t="shared" si="21"/>
        <v>230999.99999999951</v>
      </c>
      <c r="N392" s="18">
        <f t="shared" si="22"/>
        <v>230499.99999999951</v>
      </c>
    </row>
    <row r="393" spans="10:14">
      <c r="J393" s="13">
        <f t="shared" si="20"/>
        <v>50000</v>
      </c>
      <c r="K393" s="13">
        <v>4.6200000000000102E-2</v>
      </c>
      <c r="L393" s="13">
        <v>4.6299999999999901</v>
      </c>
      <c r="M393" s="18">
        <f t="shared" si="21"/>
        <v>231499.99999999951</v>
      </c>
      <c r="N393" s="18">
        <f t="shared" si="22"/>
        <v>230999.99999999951</v>
      </c>
    </row>
    <row r="394" spans="10:14">
      <c r="J394" s="13">
        <f t="shared" si="20"/>
        <v>50000</v>
      </c>
      <c r="K394" s="13">
        <v>4.6300000000000098E-2</v>
      </c>
      <c r="L394" s="13">
        <v>4.6399999999999801</v>
      </c>
      <c r="M394" s="18">
        <f t="shared" si="21"/>
        <v>231999.99999999901</v>
      </c>
      <c r="N394" s="18">
        <f t="shared" si="22"/>
        <v>231499.99999999901</v>
      </c>
    </row>
    <row r="395" spans="10:14">
      <c r="J395" s="13">
        <f t="shared" si="20"/>
        <v>50000</v>
      </c>
      <c r="K395" s="13">
        <v>4.6400000000000101E-2</v>
      </c>
      <c r="L395" s="13">
        <v>4.6499999999999799</v>
      </c>
      <c r="M395" s="18">
        <f t="shared" si="21"/>
        <v>232499.99999999901</v>
      </c>
      <c r="N395" s="18">
        <f t="shared" si="22"/>
        <v>231999.99999999901</v>
      </c>
    </row>
    <row r="396" spans="10:14">
      <c r="J396" s="13">
        <f t="shared" si="20"/>
        <v>50000</v>
      </c>
      <c r="K396" s="13">
        <v>4.6500000000000097E-2</v>
      </c>
      <c r="L396" s="13">
        <v>4.6599999999999797</v>
      </c>
      <c r="M396" s="18">
        <f t="shared" si="21"/>
        <v>232999.99999999898</v>
      </c>
      <c r="N396" s="18">
        <f t="shared" si="22"/>
        <v>232499.99999999898</v>
      </c>
    </row>
    <row r="397" spans="10:14">
      <c r="J397" s="13">
        <f t="shared" si="20"/>
        <v>50000</v>
      </c>
      <c r="K397" s="13">
        <v>4.66000000000001E-2</v>
      </c>
      <c r="L397" s="13">
        <v>4.6699999999999804</v>
      </c>
      <c r="M397" s="18">
        <f t="shared" si="21"/>
        <v>233499.99999999901</v>
      </c>
      <c r="N397" s="18">
        <f t="shared" si="22"/>
        <v>232999.99999999901</v>
      </c>
    </row>
    <row r="398" spans="10:14">
      <c r="J398" s="13">
        <f t="shared" si="20"/>
        <v>50000</v>
      </c>
      <c r="K398" s="13">
        <v>4.6700000000000103E-2</v>
      </c>
      <c r="L398" s="13">
        <v>4.6799999999999802</v>
      </c>
      <c r="M398" s="18">
        <f t="shared" si="21"/>
        <v>233999.99999999901</v>
      </c>
      <c r="N398" s="18">
        <f t="shared" si="22"/>
        <v>233499.99999999901</v>
      </c>
    </row>
    <row r="399" spans="10:14">
      <c r="J399" s="13">
        <f t="shared" si="20"/>
        <v>50000</v>
      </c>
      <c r="K399" s="13">
        <v>4.6800000000000098E-2</v>
      </c>
      <c r="L399" s="13">
        <v>4.68999999999998</v>
      </c>
      <c r="M399" s="18">
        <f t="shared" si="21"/>
        <v>234499.99999999901</v>
      </c>
      <c r="N399" s="18">
        <f t="shared" si="22"/>
        <v>233999.99999999901</v>
      </c>
    </row>
    <row r="400" spans="10:14">
      <c r="J400" s="13">
        <f t="shared" si="20"/>
        <v>50000</v>
      </c>
      <c r="K400" s="13">
        <v>4.6900000000000101E-2</v>
      </c>
      <c r="L400" s="13">
        <v>4.6999999999999797</v>
      </c>
      <c r="M400" s="18">
        <f t="shared" si="21"/>
        <v>234999.99999999898</v>
      </c>
      <c r="N400" s="18">
        <f t="shared" si="22"/>
        <v>234499.99999999898</v>
      </c>
    </row>
    <row r="401" spans="10:14">
      <c r="J401" s="13">
        <f t="shared" si="20"/>
        <v>50000</v>
      </c>
      <c r="K401" s="13">
        <v>4.7000000000000097E-2</v>
      </c>
      <c r="L401" s="13">
        <v>4.7099999999999804</v>
      </c>
      <c r="M401" s="18">
        <f t="shared" si="21"/>
        <v>235499.99999999901</v>
      </c>
      <c r="N401" s="18">
        <f t="shared" si="22"/>
        <v>234999.99999999901</v>
      </c>
    </row>
    <row r="402" spans="10:14">
      <c r="J402" s="13">
        <f t="shared" si="20"/>
        <v>50000</v>
      </c>
      <c r="K402" s="13">
        <v>4.71000000000001E-2</v>
      </c>
      <c r="L402" s="13">
        <v>4.7199999999999802</v>
      </c>
      <c r="M402" s="18">
        <f t="shared" si="21"/>
        <v>235999.99999999901</v>
      </c>
      <c r="N402" s="18">
        <f t="shared" si="22"/>
        <v>235499.99999999901</v>
      </c>
    </row>
    <row r="403" spans="10:14">
      <c r="J403" s="13">
        <f t="shared" si="20"/>
        <v>50000</v>
      </c>
      <c r="K403" s="13">
        <v>4.7200000000000103E-2</v>
      </c>
      <c r="L403" s="13">
        <v>4.72999999999998</v>
      </c>
      <c r="M403" s="18">
        <f t="shared" si="21"/>
        <v>236499.99999999901</v>
      </c>
      <c r="N403" s="18">
        <f t="shared" si="22"/>
        <v>235999.99999999901</v>
      </c>
    </row>
    <row r="404" spans="10:14">
      <c r="J404" s="13">
        <f t="shared" si="20"/>
        <v>50000</v>
      </c>
      <c r="K404" s="13">
        <v>4.7300000000000099E-2</v>
      </c>
      <c r="L404" s="13">
        <v>4.7399999999999798</v>
      </c>
      <c r="M404" s="18">
        <f t="shared" si="21"/>
        <v>236999.99999999898</v>
      </c>
      <c r="N404" s="18">
        <f t="shared" si="22"/>
        <v>236499.99999999898</v>
      </c>
    </row>
    <row r="405" spans="10:14">
      <c r="J405" s="13">
        <f t="shared" si="20"/>
        <v>50000</v>
      </c>
      <c r="K405" s="13">
        <v>4.7400000000000102E-2</v>
      </c>
      <c r="L405" s="13">
        <v>4.7499999999999796</v>
      </c>
      <c r="M405" s="18">
        <f t="shared" si="21"/>
        <v>237499.99999999898</v>
      </c>
      <c r="N405" s="18">
        <f t="shared" si="22"/>
        <v>236999.99999999898</v>
      </c>
    </row>
    <row r="406" spans="10:14">
      <c r="J406" s="13">
        <f t="shared" si="20"/>
        <v>50000</v>
      </c>
      <c r="K406" s="13">
        <v>4.7500000000000098E-2</v>
      </c>
      <c r="L406" s="13">
        <v>4.7599999999999802</v>
      </c>
      <c r="M406" s="18">
        <f t="shared" si="21"/>
        <v>237999.99999999901</v>
      </c>
      <c r="N406" s="18">
        <f t="shared" si="22"/>
        <v>237499.99999999901</v>
      </c>
    </row>
    <row r="407" spans="10:14">
      <c r="J407" s="13">
        <f t="shared" si="20"/>
        <v>50000</v>
      </c>
      <c r="K407" s="13">
        <v>4.7600000000000101E-2</v>
      </c>
      <c r="L407" s="13">
        <v>4.76999999999998</v>
      </c>
      <c r="M407" s="18">
        <f t="shared" si="21"/>
        <v>238499.99999999901</v>
      </c>
      <c r="N407" s="18">
        <f t="shared" si="22"/>
        <v>237999.99999999901</v>
      </c>
    </row>
    <row r="408" spans="10:14">
      <c r="J408" s="13">
        <f t="shared" si="20"/>
        <v>50000</v>
      </c>
      <c r="K408" s="13">
        <v>4.7700000000000103E-2</v>
      </c>
      <c r="L408" s="13">
        <v>4.7799999999999798</v>
      </c>
      <c r="M408" s="18">
        <f t="shared" si="21"/>
        <v>238999.99999999898</v>
      </c>
      <c r="N408" s="18">
        <f t="shared" si="22"/>
        <v>238499.99999999898</v>
      </c>
    </row>
    <row r="409" spans="10:14">
      <c r="J409" s="13">
        <f t="shared" si="20"/>
        <v>50000</v>
      </c>
      <c r="K409" s="13">
        <v>4.7800000000000099E-2</v>
      </c>
      <c r="L409" s="13">
        <v>4.7899999999999796</v>
      </c>
      <c r="M409" s="18">
        <f t="shared" si="21"/>
        <v>239499.99999999898</v>
      </c>
      <c r="N409" s="18">
        <f t="shared" si="22"/>
        <v>238999.99999999898</v>
      </c>
    </row>
    <row r="410" spans="10:14">
      <c r="J410" s="13">
        <f t="shared" si="20"/>
        <v>50000</v>
      </c>
      <c r="K410" s="13">
        <v>4.7900000000000102E-2</v>
      </c>
      <c r="L410" s="13">
        <v>4.7999999999999803</v>
      </c>
      <c r="M410" s="18">
        <f t="shared" si="21"/>
        <v>239999.99999999901</v>
      </c>
      <c r="N410" s="18">
        <f t="shared" si="22"/>
        <v>239499.99999999901</v>
      </c>
    </row>
    <row r="411" spans="10:14">
      <c r="J411" s="13">
        <f t="shared" si="20"/>
        <v>50000</v>
      </c>
      <c r="K411" s="13">
        <v>4.8000000000000098E-2</v>
      </c>
      <c r="L411" s="13">
        <v>4.8099999999999801</v>
      </c>
      <c r="M411" s="18">
        <f t="shared" si="21"/>
        <v>240499.99999999901</v>
      </c>
      <c r="N411" s="18">
        <f t="shared" si="22"/>
        <v>239999.99999999901</v>
      </c>
    </row>
    <row r="412" spans="10:14">
      <c r="J412" s="13">
        <f t="shared" si="20"/>
        <v>50000</v>
      </c>
      <c r="K412" s="13">
        <v>4.8100000000000101E-2</v>
      </c>
      <c r="L412" s="13">
        <v>4.8199999999999799</v>
      </c>
      <c r="M412" s="18">
        <f t="shared" si="21"/>
        <v>240999.99999999898</v>
      </c>
      <c r="N412" s="18">
        <f t="shared" si="22"/>
        <v>240499.99999999898</v>
      </c>
    </row>
    <row r="413" spans="10:14">
      <c r="J413" s="13">
        <f t="shared" si="20"/>
        <v>50000</v>
      </c>
      <c r="K413" s="13">
        <v>4.8200000000000097E-2</v>
      </c>
      <c r="L413" s="13">
        <v>4.8299999999999796</v>
      </c>
      <c r="M413" s="18">
        <f t="shared" si="21"/>
        <v>241499.99999999898</v>
      </c>
      <c r="N413" s="18">
        <f t="shared" si="22"/>
        <v>240999.99999999898</v>
      </c>
    </row>
    <row r="414" spans="10:14">
      <c r="J414" s="13">
        <f t="shared" si="20"/>
        <v>50000</v>
      </c>
      <c r="K414" s="13">
        <v>4.83000000000001E-2</v>
      </c>
      <c r="L414" s="13">
        <v>4.8399999999999803</v>
      </c>
      <c r="M414" s="18">
        <f t="shared" si="21"/>
        <v>241999.99999999901</v>
      </c>
      <c r="N414" s="18">
        <f t="shared" si="22"/>
        <v>241499.99999999901</v>
      </c>
    </row>
    <row r="415" spans="10:14">
      <c r="J415" s="13">
        <f t="shared" si="20"/>
        <v>50000</v>
      </c>
      <c r="K415" s="13">
        <v>4.8400000000000103E-2</v>
      </c>
      <c r="L415" s="13">
        <v>4.8499999999999801</v>
      </c>
      <c r="M415" s="18">
        <f t="shared" si="21"/>
        <v>242499.99999999901</v>
      </c>
      <c r="N415" s="18">
        <f t="shared" si="22"/>
        <v>241999.99999999901</v>
      </c>
    </row>
    <row r="416" spans="10:14">
      <c r="J416" s="13">
        <f t="shared" ref="J416:J431" si="23">$F$13</f>
        <v>50000</v>
      </c>
      <c r="K416" s="13">
        <v>4.8500000000000099E-2</v>
      </c>
      <c r="L416" s="13">
        <v>4.8599999999999799</v>
      </c>
      <c r="M416" s="18">
        <f t="shared" ref="M416:M431" si="24">J416*L416</f>
        <v>242999.99999999898</v>
      </c>
      <c r="N416" s="18">
        <f t="shared" ref="N416:N431" si="25">M416-J416*0.01</f>
        <v>242499.99999999898</v>
      </c>
    </row>
    <row r="417" spans="10:14">
      <c r="J417" s="13">
        <f t="shared" si="23"/>
        <v>50000</v>
      </c>
      <c r="K417" s="13">
        <v>4.8600000000000101E-2</v>
      </c>
      <c r="L417" s="13">
        <v>4.8699999999999797</v>
      </c>
      <c r="M417" s="18">
        <f t="shared" si="24"/>
        <v>243499.99999999898</v>
      </c>
      <c r="N417" s="18">
        <f t="shared" si="25"/>
        <v>242999.99999999898</v>
      </c>
    </row>
    <row r="418" spans="10:14">
      <c r="J418" s="13">
        <f t="shared" si="23"/>
        <v>50000</v>
      </c>
      <c r="K418" s="13">
        <v>4.8700000000000097E-2</v>
      </c>
      <c r="L418" s="13">
        <v>4.8799999999999804</v>
      </c>
      <c r="M418" s="18">
        <f t="shared" si="24"/>
        <v>243999.99999999901</v>
      </c>
      <c r="N418" s="18">
        <f t="shared" si="25"/>
        <v>243499.99999999901</v>
      </c>
    </row>
    <row r="419" spans="10:14">
      <c r="J419" s="13">
        <f t="shared" si="23"/>
        <v>50000</v>
      </c>
      <c r="K419" s="13">
        <v>4.88000000000001E-2</v>
      </c>
      <c r="L419" s="13">
        <v>4.8899999999999801</v>
      </c>
      <c r="M419" s="18">
        <f t="shared" si="24"/>
        <v>244499.99999999901</v>
      </c>
      <c r="N419" s="18">
        <f t="shared" si="25"/>
        <v>243999.99999999901</v>
      </c>
    </row>
    <row r="420" spans="10:14">
      <c r="J420" s="13">
        <f t="shared" si="23"/>
        <v>50000</v>
      </c>
      <c r="K420" s="13">
        <v>4.8900000000000103E-2</v>
      </c>
      <c r="L420" s="13">
        <v>4.8999999999999799</v>
      </c>
      <c r="M420" s="18">
        <f t="shared" si="24"/>
        <v>244999.99999999901</v>
      </c>
      <c r="N420" s="18">
        <f t="shared" si="25"/>
        <v>244499.99999999901</v>
      </c>
    </row>
    <row r="421" spans="10:14">
      <c r="J421" s="13">
        <f t="shared" si="23"/>
        <v>50000</v>
      </c>
      <c r="K421" s="13">
        <v>4.9000000000000099E-2</v>
      </c>
      <c r="L421" s="13">
        <v>4.9099999999999797</v>
      </c>
      <c r="M421" s="18">
        <f t="shared" si="24"/>
        <v>245499.99999999898</v>
      </c>
      <c r="N421" s="18">
        <f t="shared" si="25"/>
        <v>244999.99999999898</v>
      </c>
    </row>
    <row r="422" spans="10:14">
      <c r="J422" s="13">
        <f t="shared" si="23"/>
        <v>50000</v>
      </c>
      <c r="K422" s="13">
        <v>4.9100000000000102E-2</v>
      </c>
      <c r="L422" s="13">
        <v>4.9199999999999804</v>
      </c>
      <c r="M422" s="18">
        <f t="shared" si="24"/>
        <v>245999.99999999901</v>
      </c>
      <c r="N422" s="18">
        <f t="shared" si="25"/>
        <v>245499.99999999901</v>
      </c>
    </row>
    <row r="423" spans="10:14">
      <c r="J423" s="13">
        <f t="shared" si="23"/>
        <v>50000</v>
      </c>
      <c r="K423" s="13">
        <v>4.9200000000000098E-2</v>
      </c>
      <c r="L423" s="13">
        <v>4.9299999999999802</v>
      </c>
      <c r="M423" s="18">
        <f t="shared" si="24"/>
        <v>246499.99999999901</v>
      </c>
      <c r="N423" s="18">
        <f t="shared" si="25"/>
        <v>245999.99999999901</v>
      </c>
    </row>
    <row r="424" spans="10:14">
      <c r="J424" s="13">
        <f t="shared" si="23"/>
        <v>50000</v>
      </c>
      <c r="K424" s="13">
        <v>4.9300000000000101E-2</v>
      </c>
      <c r="L424" s="13">
        <v>4.93999999999998</v>
      </c>
      <c r="M424" s="18">
        <f t="shared" si="24"/>
        <v>246999.99999999901</v>
      </c>
      <c r="N424" s="18">
        <f t="shared" si="25"/>
        <v>246499.99999999901</v>
      </c>
    </row>
    <row r="425" spans="10:14">
      <c r="J425" s="13">
        <f t="shared" si="23"/>
        <v>50000</v>
      </c>
      <c r="K425" s="13">
        <v>4.9400000000000097E-2</v>
      </c>
      <c r="L425" s="13">
        <v>4.9499999999999797</v>
      </c>
      <c r="M425" s="18">
        <f t="shared" si="24"/>
        <v>247499.99999999898</v>
      </c>
      <c r="N425" s="18">
        <f t="shared" si="25"/>
        <v>246999.99999999898</v>
      </c>
    </row>
    <row r="426" spans="10:14">
      <c r="J426" s="13">
        <f t="shared" si="23"/>
        <v>50000</v>
      </c>
      <c r="K426" s="13">
        <v>4.9500000000000099E-2</v>
      </c>
      <c r="L426" s="13">
        <v>4.9599999999999804</v>
      </c>
      <c r="M426" s="18">
        <f t="shared" si="24"/>
        <v>247999.99999999901</v>
      </c>
      <c r="N426" s="18">
        <f t="shared" si="25"/>
        <v>247499.99999999901</v>
      </c>
    </row>
    <row r="427" spans="10:14">
      <c r="J427" s="13">
        <f t="shared" si="23"/>
        <v>50000</v>
      </c>
      <c r="K427" s="13">
        <v>4.9600000000000102E-2</v>
      </c>
      <c r="L427" s="13">
        <v>4.9699999999999802</v>
      </c>
      <c r="M427" s="18">
        <f t="shared" si="24"/>
        <v>248499.99999999901</v>
      </c>
      <c r="N427" s="18">
        <f t="shared" si="25"/>
        <v>247999.99999999901</v>
      </c>
    </row>
    <row r="428" spans="10:14">
      <c r="J428" s="13">
        <f t="shared" si="23"/>
        <v>50000</v>
      </c>
      <c r="K428" s="13">
        <v>4.9700000000000098E-2</v>
      </c>
      <c r="L428" s="13">
        <v>4.97999999999998</v>
      </c>
      <c r="M428" s="18">
        <f t="shared" si="24"/>
        <v>248999.99999999901</v>
      </c>
      <c r="N428" s="18">
        <f t="shared" si="25"/>
        <v>248499.99999999901</v>
      </c>
    </row>
    <row r="429" spans="10:14">
      <c r="J429" s="13">
        <f t="shared" si="23"/>
        <v>50000</v>
      </c>
      <c r="K429" s="13">
        <v>4.9800000000000101E-2</v>
      </c>
      <c r="L429" s="13">
        <v>4.9899999999999798</v>
      </c>
      <c r="M429" s="18">
        <f t="shared" si="24"/>
        <v>249499.99999999898</v>
      </c>
      <c r="N429" s="18">
        <f t="shared" si="25"/>
        <v>248999.99999999898</v>
      </c>
    </row>
    <row r="430" spans="10:14">
      <c r="J430" s="13">
        <f t="shared" si="23"/>
        <v>50000</v>
      </c>
      <c r="K430" s="13">
        <v>4.9900000000000097E-2</v>
      </c>
      <c r="L430" s="13">
        <v>4.9999999999999796</v>
      </c>
      <c r="M430" s="18">
        <f t="shared" si="24"/>
        <v>249999.99999999898</v>
      </c>
      <c r="N430" s="18">
        <f t="shared" si="25"/>
        <v>249499.99999999898</v>
      </c>
    </row>
    <row r="431" spans="10:14">
      <c r="J431" s="13">
        <f t="shared" si="23"/>
        <v>50000</v>
      </c>
      <c r="K431" s="13">
        <v>5.00000000000001E-2</v>
      </c>
      <c r="L431" s="13">
        <v>5.0099999999999802</v>
      </c>
      <c r="M431" s="18">
        <f t="shared" si="24"/>
        <v>250499.99999999901</v>
      </c>
      <c r="N431" s="18">
        <f t="shared" si="25"/>
        <v>249999.99999999901</v>
      </c>
    </row>
  </sheetData>
  <mergeCells count="37">
    <mergeCell ref="I9:N9"/>
    <mergeCell ref="I10:N10"/>
    <mergeCell ref="J26:N27"/>
    <mergeCell ref="J28:N28"/>
    <mergeCell ref="B16:D16"/>
    <mergeCell ref="F16:G16"/>
    <mergeCell ref="F17:G17"/>
    <mergeCell ref="B18:D18"/>
    <mergeCell ref="E18:G18"/>
    <mergeCell ref="G22:H22"/>
    <mergeCell ref="G23:H23"/>
    <mergeCell ref="I22:J22"/>
    <mergeCell ref="I23:J23"/>
    <mergeCell ref="A13:B13"/>
    <mergeCell ref="C13:D13"/>
    <mergeCell ref="A14:B14"/>
    <mergeCell ref="C10:D10"/>
    <mergeCell ref="B22:C22"/>
    <mergeCell ref="B23:C23"/>
    <mergeCell ref="D22:E22"/>
    <mergeCell ref="D23:E23"/>
    <mergeCell ref="B29:F29"/>
    <mergeCell ref="J29:N29"/>
    <mergeCell ref="C7:D7"/>
    <mergeCell ref="C8:D8"/>
    <mergeCell ref="C2:E2"/>
    <mergeCell ref="F2:H2"/>
    <mergeCell ref="C3:D3"/>
    <mergeCell ref="C4:D4"/>
    <mergeCell ref="C5:D5"/>
    <mergeCell ref="C6:D6"/>
    <mergeCell ref="B26:F26"/>
    <mergeCell ref="B20:F20"/>
    <mergeCell ref="B28:C28"/>
    <mergeCell ref="I11:K11"/>
    <mergeCell ref="I8:N8"/>
    <mergeCell ref="C9:D9"/>
  </mergeCells>
  <phoneticPr fontId="1"/>
  <hyperlinks>
    <hyperlink ref="B4:B5" r:id="rId1" display="バックテスト" xr:uid="{A83C4DE5-C872-44DD-9706-EE7CD7A02362}"/>
    <hyperlink ref="B6" r:id="rId2" xr:uid="{B918ED02-B343-4D55-B88C-536745B8CC5F}"/>
    <hyperlink ref="B7" r:id="rId3" xr:uid="{B36C2FC0-0C3D-4219-B047-37A2F663B7D4}"/>
    <hyperlink ref="B8" r:id="rId4" xr:uid="{DF2B3C65-E94A-417F-929E-5B2FA37FF9D7}"/>
    <hyperlink ref="B5" r:id="rId5" xr:uid="{568BB2B8-91E1-4A66-AE88-B4F0A1425E24}"/>
    <hyperlink ref="B9" r:id="rId6" xr:uid="{E35362FF-E8B3-4831-866C-3E1089A7985E}"/>
    <hyperlink ref="B10" r:id="rId7" xr:uid="{5319F040-2DB2-49A9-8B62-490C31031BB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737F3F6-5179-450D-8370-57C39D6FF4C0}">
          <x14:formula1>
            <xm:f>推奨設定一覧!$A$2:$A$15</xm:f>
          </x14:formula1>
          <xm:sqref>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2D0B-3504-449B-B437-0A5F22BB54F8}">
  <sheetPr>
    <pageSetUpPr fitToPage="1"/>
  </sheetPr>
  <dimension ref="A2:Q114"/>
  <sheetViews>
    <sheetView workbookViewId="0">
      <pane ySplit="8" topLeftCell="A95" activePane="bottomLeft" state="frozen"/>
      <selection pane="bottomLeft" activeCell="G97" sqref="G97"/>
    </sheetView>
  </sheetViews>
  <sheetFormatPr defaultRowHeight="18"/>
  <cols>
    <col min="1" max="1" width="26.09765625" bestFit="1" customWidth="1"/>
    <col min="4" max="4" width="17.09765625" style="73" customWidth="1"/>
    <col min="5" max="5" width="26.69921875" style="73" customWidth="1"/>
    <col min="6" max="6" width="15.3984375" style="73" bestFit="1" customWidth="1"/>
    <col min="7" max="7" width="21.796875" style="73" customWidth="1"/>
    <col min="8" max="8" width="14.3984375" style="27" bestFit="1" customWidth="1"/>
    <col min="9" max="9" width="19.3984375" bestFit="1" customWidth="1"/>
    <col min="10" max="10" width="8.69921875" style="27" bestFit="1" customWidth="1"/>
    <col min="11" max="11" width="12.3984375" style="27" bestFit="1" customWidth="1"/>
    <col min="12" max="12" width="10.3984375" bestFit="1" customWidth="1"/>
    <col min="13" max="13" width="10.3984375" style="73" bestFit="1" customWidth="1"/>
    <col min="14" max="14" width="8.59765625" bestFit="1" customWidth="1"/>
    <col min="15" max="15" width="8.59765625" style="72" bestFit="1" customWidth="1"/>
    <col min="16" max="16" width="5" bestFit="1" customWidth="1"/>
  </cols>
  <sheetData>
    <row r="2" spans="2:17" ht="22.2">
      <c r="B2" t="s">
        <v>261</v>
      </c>
      <c r="C2" s="277" t="s">
        <v>260</v>
      </c>
      <c r="D2" s="277"/>
      <c r="E2" s="212" t="s">
        <v>214</v>
      </c>
      <c r="F2" s="280" t="s">
        <v>297</v>
      </c>
      <c r="G2" s="280"/>
      <c r="H2" s="280"/>
      <c r="I2" s="213">
        <v>50000</v>
      </c>
    </row>
    <row r="3" spans="2:17">
      <c r="C3" s="279" t="s">
        <v>340</v>
      </c>
      <c r="D3" s="279"/>
      <c r="E3" s="279"/>
      <c r="F3" s="279"/>
      <c r="G3" s="279"/>
      <c r="H3" s="279"/>
      <c r="I3" s="279"/>
    </row>
    <row r="4" spans="2:17" ht="24" customHeight="1">
      <c r="C4" s="278"/>
      <c r="D4" s="278"/>
      <c r="E4" s="278"/>
      <c r="F4" s="278"/>
      <c r="G4" s="194" t="s">
        <v>263</v>
      </c>
      <c r="H4" s="214">
        <f>IF(E2="","",VLOOKUP($E2,推奨設定一覧!A2:E15,2,FALSE))</f>
        <v>50000</v>
      </c>
    </row>
    <row r="5" spans="2:17">
      <c r="B5" s="93"/>
      <c r="E5" s="198" t="s">
        <v>264</v>
      </c>
      <c r="F5" s="215">
        <f>0.01+ROUNDDOWN((I2-H4)/H4*0.01,4)</f>
        <v>0.01</v>
      </c>
      <c r="G5" s="84" t="s">
        <v>262</v>
      </c>
      <c r="H5" s="214">
        <f>I2</f>
        <v>50000</v>
      </c>
      <c r="I5" s="83" t="s">
        <v>102</v>
      </c>
      <c r="J5" s="92">
        <v>26</v>
      </c>
      <c r="K5" s="85" t="s">
        <v>101</v>
      </c>
      <c r="L5" s="91">
        <v>13</v>
      </c>
      <c r="M5" s="84" t="s">
        <v>100</v>
      </c>
      <c r="N5" s="217">
        <f>IF(E2="","",VLOOKUP($E2,推奨設定一覧!A2:D15,4,FALSE))</f>
        <v>1.36</v>
      </c>
    </row>
    <row r="6" spans="2:17" ht="18.600000000000001" thickBot="1">
      <c r="E6" s="84" t="s">
        <v>85</v>
      </c>
      <c r="F6" s="84">
        <v>75000</v>
      </c>
      <c r="G6" s="84" t="s">
        <v>99</v>
      </c>
      <c r="H6" s="84">
        <v>-30000</v>
      </c>
      <c r="I6" s="83" t="s">
        <v>98</v>
      </c>
      <c r="J6" s="90">
        <v>150</v>
      </c>
      <c r="K6" s="85" t="s">
        <v>97</v>
      </c>
      <c r="L6" s="89">
        <v>2000</v>
      </c>
      <c r="M6" s="84"/>
      <c r="N6" s="83"/>
    </row>
    <row r="7" spans="2:17" ht="19.2" thickTop="1" thickBot="1">
      <c r="E7" s="84" t="s">
        <v>96</v>
      </c>
      <c r="F7" s="191">
        <f>(G14+G19+G25+G32+G40+G49+G59+G70+G82)/9</f>
        <v>1.6742629515089931</v>
      </c>
      <c r="G7" s="84" t="s">
        <v>95</v>
      </c>
      <c r="H7" s="192">
        <f>F7*8</f>
        <v>13.394103612071945</v>
      </c>
      <c r="I7" s="83" t="s">
        <v>94</v>
      </c>
      <c r="J7" s="193">
        <f>H7*22</f>
        <v>294.67027946558278</v>
      </c>
      <c r="K7" s="85"/>
      <c r="L7" s="83"/>
      <c r="M7" s="84"/>
      <c r="N7" s="83"/>
    </row>
    <row r="8" spans="2:17" ht="19.8" customHeight="1" thickTop="1">
      <c r="B8" s="82"/>
      <c r="C8" s="82"/>
      <c r="D8" s="211" t="s">
        <v>298</v>
      </c>
      <c r="E8" s="79" t="s">
        <v>92</v>
      </c>
      <c r="F8" s="79" t="s">
        <v>91</v>
      </c>
      <c r="G8" s="79" t="s">
        <v>90</v>
      </c>
      <c r="H8" s="81" t="s">
        <v>89</v>
      </c>
      <c r="I8" s="210" t="s">
        <v>299</v>
      </c>
      <c r="J8" s="81" t="s">
        <v>87</v>
      </c>
      <c r="K8" s="81" t="s">
        <v>86</v>
      </c>
      <c r="L8" s="79" t="s">
        <v>85</v>
      </c>
      <c r="M8" s="79" t="s">
        <v>84</v>
      </c>
      <c r="N8" s="79" t="s">
        <v>83</v>
      </c>
      <c r="O8" s="80" t="s">
        <v>82</v>
      </c>
      <c r="P8" s="79" t="s">
        <v>65</v>
      </c>
      <c r="Q8" s="78" t="s">
        <v>81</v>
      </c>
    </row>
    <row r="9" spans="2:17" ht="19.8" customHeight="1">
      <c r="B9">
        <v>1</v>
      </c>
      <c r="C9" t="s">
        <v>80</v>
      </c>
      <c r="E9" s="73">
        <f>H5+F9</f>
        <v>50278.571428571428</v>
      </c>
      <c r="F9" s="73">
        <f>L9*I9/70*J9</f>
        <v>278.57142857142856</v>
      </c>
      <c r="G9" s="73">
        <f>F9</f>
        <v>278.57142857142856</v>
      </c>
      <c r="H9" s="27">
        <f>100000*O9*I9/Q9</f>
        <v>75</v>
      </c>
      <c r="I9" s="74">
        <f>F5</f>
        <v>0.01</v>
      </c>
      <c r="J9" s="27">
        <f>J5</f>
        <v>26</v>
      </c>
      <c r="K9" s="27">
        <f>L5</f>
        <v>13</v>
      </c>
      <c r="L9">
        <v>75000</v>
      </c>
      <c r="M9" s="73">
        <v>-30000</v>
      </c>
      <c r="N9">
        <f>H5</f>
        <v>50000</v>
      </c>
      <c r="O9" s="72">
        <f>J6</f>
        <v>150</v>
      </c>
      <c r="P9">
        <f>N5</f>
        <v>1.36</v>
      </c>
      <c r="Q9">
        <f>L6</f>
        <v>2000</v>
      </c>
    </row>
    <row r="10" spans="2:17" ht="19.8" customHeight="1">
      <c r="F10" s="73" t="s">
        <v>70</v>
      </c>
      <c r="G10" s="73">
        <f>G9</f>
        <v>278.57142857142856</v>
      </c>
    </row>
    <row r="12" spans="2:17">
      <c r="B12">
        <v>1</v>
      </c>
      <c r="C12" t="s">
        <v>79</v>
      </c>
      <c r="D12" s="77">
        <f>(E12*0.8)+(F12*P12)-(H12*P12)</f>
        <v>39617.199999999997</v>
      </c>
      <c r="E12" s="73">
        <f>N12+F12</f>
        <v>49870</v>
      </c>
      <c r="F12" s="73">
        <f>M12*I12/30*K12</f>
        <v>-130</v>
      </c>
      <c r="G12" s="73">
        <f>F12</f>
        <v>-130</v>
      </c>
      <c r="H12" s="27">
        <f>100000*O12*I12/Q12</f>
        <v>75</v>
      </c>
      <c r="I12" s="74">
        <f>F5</f>
        <v>0.01</v>
      </c>
      <c r="J12" s="27">
        <f>$J$9</f>
        <v>26</v>
      </c>
      <c r="K12" s="27">
        <f>$K$9</f>
        <v>13</v>
      </c>
      <c r="L12">
        <v>75000</v>
      </c>
      <c r="M12" s="73">
        <v>-30000</v>
      </c>
      <c r="N12">
        <f>$N$9</f>
        <v>50000</v>
      </c>
      <c r="O12" s="72">
        <f>$O$9</f>
        <v>150</v>
      </c>
      <c r="P12">
        <f>$P$9</f>
        <v>1.36</v>
      </c>
      <c r="Q12">
        <f>$Q$9</f>
        <v>2000</v>
      </c>
    </row>
    <row r="13" spans="2:17">
      <c r="B13" s="26">
        <v>2</v>
      </c>
      <c r="C13" s="26"/>
      <c r="D13" s="76">
        <f>(E13*0.8)+(F13*P13)-(H13*P13)</f>
        <v>40575.611428571436</v>
      </c>
      <c r="E13" s="76">
        <f>N13+G13</f>
        <v>50248.857142857145</v>
      </c>
      <c r="F13" s="76">
        <f>L13*I13/70*J13</f>
        <v>378.85714285714289</v>
      </c>
      <c r="G13" s="76">
        <f>G12+F13</f>
        <v>248.85714285714289</v>
      </c>
      <c r="H13" s="27">
        <f>100000*O13*I13/Q13</f>
        <v>102.00000000000001</v>
      </c>
      <c r="I13" s="74">
        <f>I12*P13</f>
        <v>1.3600000000000001E-2</v>
      </c>
      <c r="J13" s="27">
        <f>$J$9</f>
        <v>26</v>
      </c>
      <c r="K13" s="27">
        <f>$K$9</f>
        <v>13</v>
      </c>
      <c r="L13">
        <v>75000</v>
      </c>
      <c r="M13" s="73">
        <v>-30000</v>
      </c>
      <c r="N13">
        <f>$N$9</f>
        <v>50000</v>
      </c>
      <c r="O13" s="72">
        <f>$O$9</f>
        <v>150</v>
      </c>
      <c r="P13">
        <f>$P$9</f>
        <v>1.36</v>
      </c>
      <c r="Q13">
        <f>$Q$9</f>
        <v>2000</v>
      </c>
    </row>
    <row r="14" spans="2:17">
      <c r="F14" s="73" t="s">
        <v>70</v>
      </c>
      <c r="G14" s="73">
        <f>G13/2</f>
        <v>124.42857142857144</v>
      </c>
      <c r="I14" s="74"/>
    </row>
    <row r="15" spans="2:17">
      <c r="I15" s="74"/>
    </row>
    <row r="16" spans="2:17">
      <c r="B16">
        <v>1</v>
      </c>
      <c r="C16" t="s">
        <v>78</v>
      </c>
      <c r="D16" s="73">
        <f>(E16*0.8)+(F16*P16)-(H16*P16)</f>
        <v>39617.199999999997</v>
      </c>
      <c r="E16" s="73">
        <f>N16+G16</f>
        <v>49870</v>
      </c>
      <c r="F16" s="73">
        <f>M16*I16/30*K16</f>
        <v>-130</v>
      </c>
      <c r="G16" s="73">
        <f>F16</f>
        <v>-130</v>
      </c>
      <c r="H16" s="27">
        <f>100000*O16*I16/Q16</f>
        <v>75</v>
      </c>
      <c r="I16" s="74">
        <f>F5</f>
        <v>0.01</v>
      </c>
      <c r="J16" s="27">
        <f>$J$9</f>
        <v>26</v>
      </c>
      <c r="K16" s="27">
        <f>$K$9</f>
        <v>13</v>
      </c>
      <c r="L16">
        <v>75000</v>
      </c>
      <c r="M16" s="73">
        <v>-30000</v>
      </c>
      <c r="N16">
        <f>$N$9</f>
        <v>50000</v>
      </c>
      <c r="O16" s="72">
        <f>$O$9</f>
        <v>150</v>
      </c>
      <c r="P16">
        <f>$P$9</f>
        <v>1.36</v>
      </c>
      <c r="Q16">
        <f>$Q$9</f>
        <v>2000</v>
      </c>
    </row>
    <row r="17" spans="2:17">
      <c r="B17">
        <v>2</v>
      </c>
      <c r="D17" s="77">
        <f>(E17*0.8)+(F17*P17)-(H17*P17)</f>
        <v>39375.392</v>
      </c>
      <c r="E17" s="73">
        <f>N17+G17</f>
        <v>49693.2</v>
      </c>
      <c r="F17" s="73">
        <f>M17*I17/30*K17</f>
        <v>-176.8</v>
      </c>
      <c r="G17" s="73">
        <f>G16+F17</f>
        <v>-306.8</v>
      </c>
      <c r="H17" s="27">
        <f>100000*O17*I17/Q17</f>
        <v>102.00000000000001</v>
      </c>
      <c r="I17" s="74">
        <f>I16*P17</f>
        <v>1.3600000000000001E-2</v>
      </c>
      <c r="J17" s="27">
        <f>$J$9</f>
        <v>26</v>
      </c>
      <c r="K17" s="27">
        <f>$K$9</f>
        <v>13</v>
      </c>
      <c r="L17">
        <v>75000</v>
      </c>
      <c r="M17" s="73">
        <v>-30000</v>
      </c>
      <c r="N17">
        <f>$N$9</f>
        <v>50000</v>
      </c>
      <c r="O17" s="72">
        <f>$O$9</f>
        <v>150</v>
      </c>
      <c r="P17">
        <f>$P$9</f>
        <v>1.36</v>
      </c>
      <c r="Q17">
        <f>$Q$9</f>
        <v>2000</v>
      </c>
    </row>
    <row r="18" spans="2:17">
      <c r="B18" s="26">
        <v>3</v>
      </c>
      <c r="C18" s="26"/>
      <c r="D18" s="76">
        <f>(E18*0.8)+(F18*P18)-(H18*P18)</f>
        <v>40678.831542857144</v>
      </c>
      <c r="E18" s="76">
        <f>N18+G18</f>
        <v>50208.445714285714</v>
      </c>
      <c r="F18" s="76">
        <f>L18*I18/70*J18</f>
        <v>515.24571428571437</v>
      </c>
      <c r="G18" s="76">
        <f>G17+F18</f>
        <v>208.44571428571436</v>
      </c>
      <c r="H18" s="27">
        <f>100000*O18*I18/Q18</f>
        <v>138.72000000000003</v>
      </c>
      <c r="I18" s="74">
        <f>I17*P18</f>
        <v>1.8496000000000002E-2</v>
      </c>
      <c r="J18" s="27">
        <f>$J$9</f>
        <v>26</v>
      </c>
      <c r="K18" s="27">
        <f>$K$9</f>
        <v>13</v>
      </c>
      <c r="L18">
        <v>75000</v>
      </c>
      <c r="M18" s="73">
        <v>-30000</v>
      </c>
      <c r="N18">
        <f>$N$9</f>
        <v>50000</v>
      </c>
      <c r="O18" s="72">
        <f>$O$9</f>
        <v>150</v>
      </c>
      <c r="P18">
        <f>$P$9</f>
        <v>1.36</v>
      </c>
      <c r="Q18">
        <f>$Q$9</f>
        <v>2000</v>
      </c>
    </row>
    <row r="19" spans="2:17">
      <c r="F19" s="73" t="s">
        <v>70</v>
      </c>
      <c r="G19" s="73">
        <f>G18/3</f>
        <v>69.481904761904786</v>
      </c>
      <c r="I19" s="74"/>
    </row>
    <row r="20" spans="2:17">
      <c r="I20" s="74"/>
    </row>
    <row r="21" spans="2:17">
      <c r="B21">
        <v>1</v>
      </c>
      <c r="C21" t="s">
        <v>77</v>
      </c>
      <c r="D21" s="73">
        <f>(E21*0.8)+(F21*P21)-(H21*P21)</f>
        <v>39617.199999999997</v>
      </c>
      <c r="E21" s="73">
        <f>N21+G21</f>
        <v>49870</v>
      </c>
      <c r="F21" s="73">
        <f>M21*I21/30*K21</f>
        <v>-130</v>
      </c>
      <c r="G21" s="73">
        <f>G20+F21</f>
        <v>-130</v>
      </c>
      <c r="H21" s="27">
        <f>100000*O21*I21/Q21</f>
        <v>75</v>
      </c>
      <c r="I21" s="74">
        <f>F5</f>
        <v>0.01</v>
      </c>
      <c r="J21" s="27">
        <f>$J$9</f>
        <v>26</v>
      </c>
      <c r="K21" s="27">
        <f>$K$9</f>
        <v>13</v>
      </c>
      <c r="L21">
        <v>75000</v>
      </c>
      <c r="M21" s="73">
        <v>-30000</v>
      </c>
      <c r="N21">
        <f>$N$9</f>
        <v>50000</v>
      </c>
      <c r="O21" s="72">
        <f>$O$9</f>
        <v>150</v>
      </c>
      <c r="P21">
        <f>$P$9</f>
        <v>1.36</v>
      </c>
      <c r="Q21">
        <f>$Q$9</f>
        <v>2000</v>
      </c>
    </row>
    <row r="22" spans="2:17">
      <c r="B22">
        <v>2</v>
      </c>
      <c r="D22" s="73">
        <f>(E22*0.8)+(F22*P22)-(H22*P22)</f>
        <v>39375.392</v>
      </c>
      <c r="E22" s="73">
        <f>N22+G22</f>
        <v>49693.2</v>
      </c>
      <c r="F22" s="73">
        <f>M22*I22/30*K22</f>
        <v>-176.8</v>
      </c>
      <c r="G22" s="73">
        <f>G21+F22</f>
        <v>-306.8</v>
      </c>
      <c r="H22" s="27">
        <f>100000*O22*I22/Q22</f>
        <v>102.00000000000001</v>
      </c>
      <c r="I22" s="74">
        <f>I21*P22</f>
        <v>1.3600000000000001E-2</v>
      </c>
      <c r="J22" s="27">
        <f>$J$9</f>
        <v>26</v>
      </c>
      <c r="K22" s="27">
        <f>$K$9</f>
        <v>13</v>
      </c>
      <c r="L22">
        <v>75000</v>
      </c>
      <c r="M22" s="73">
        <v>-30000</v>
      </c>
      <c r="N22">
        <f>$N$9</f>
        <v>50000</v>
      </c>
      <c r="O22" s="72">
        <f>$O$9</f>
        <v>150</v>
      </c>
      <c r="P22">
        <f>$P$9</f>
        <v>1.36</v>
      </c>
      <c r="Q22">
        <f>$Q$9</f>
        <v>2000</v>
      </c>
    </row>
    <row r="23" spans="2:17">
      <c r="B23">
        <v>3</v>
      </c>
      <c r="D23" s="77">
        <f>(E23*0.8)+(F23*P23)-(H23*P23)</f>
        <v>39046.53312</v>
      </c>
      <c r="E23" s="73">
        <f>N23+G23</f>
        <v>49452.752</v>
      </c>
      <c r="F23" s="73">
        <f>M23*I23/30*K23</f>
        <v>-240.44800000000004</v>
      </c>
      <c r="G23" s="73">
        <f>G22+F23</f>
        <v>-547.24800000000005</v>
      </c>
      <c r="H23" s="27">
        <f>100000*O23*I23/Q23</f>
        <v>138.72000000000003</v>
      </c>
      <c r="I23" s="74">
        <f>I22*P23</f>
        <v>1.8496000000000002E-2</v>
      </c>
      <c r="J23" s="27">
        <f>$J$9</f>
        <v>26</v>
      </c>
      <c r="K23" s="27">
        <f>$K$9</f>
        <v>13</v>
      </c>
      <c r="L23">
        <v>75000</v>
      </c>
      <c r="M23" s="73">
        <v>-30000</v>
      </c>
      <c r="N23">
        <f>$N$9</f>
        <v>50000</v>
      </c>
      <c r="O23" s="72">
        <f>$O$9</f>
        <v>150</v>
      </c>
      <c r="P23">
        <f>$P$9</f>
        <v>1.36</v>
      </c>
      <c r="Q23">
        <f>$Q$9</f>
        <v>2000</v>
      </c>
    </row>
    <row r="24" spans="2:17">
      <c r="B24" s="26">
        <v>4</v>
      </c>
      <c r="C24" s="26"/>
      <c r="D24" s="76">
        <f>(E24*0.8)+(F24*P24)-(H24*P24)</f>
        <v>40819.210898285717</v>
      </c>
      <c r="E24" s="76">
        <f>N24+G24</f>
        <v>50153.486171428573</v>
      </c>
      <c r="F24" s="76">
        <f>L24*I24/70*J24</f>
        <v>700.73417142857147</v>
      </c>
      <c r="G24" s="76">
        <f>G23+F24</f>
        <v>153.48617142857142</v>
      </c>
      <c r="H24" s="27">
        <f>100000*O24*I24/Q24</f>
        <v>188.6592</v>
      </c>
      <c r="I24" s="74">
        <f>I23*P24</f>
        <v>2.5154560000000003E-2</v>
      </c>
      <c r="J24" s="27">
        <f>$J$9</f>
        <v>26</v>
      </c>
      <c r="K24" s="27">
        <f>$K$9</f>
        <v>13</v>
      </c>
      <c r="L24">
        <v>75000</v>
      </c>
      <c r="M24" s="73">
        <v>-30000</v>
      </c>
      <c r="N24">
        <f>$N$9</f>
        <v>50000</v>
      </c>
      <c r="O24" s="72">
        <f>$O$9</f>
        <v>150</v>
      </c>
      <c r="P24">
        <f>$P$9</f>
        <v>1.36</v>
      </c>
      <c r="Q24">
        <f>$Q$9</f>
        <v>2000</v>
      </c>
    </row>
    <row r="25" spans="2:17">
      <c r="F25" s="73" t="s">
        <v>70</v>
      </c>
      <c r="G25" s="73">
        <f>G24/4</f>
        <v>38.371542857142856</v>
      </c>
      <c r="I25" s="74"/>
    </row>
    <row r="26" spans="2:17">
      <c r="I26" s="74"/>
    </row>
    <row r="27" spans="2:17">
      <c r="B27">
        <v>1</v>
      </c>
      <c r="C27" t="s">
        <v>76</v>
      </c>
      <c r="D27" s="73">
        <f>(E27*0.8)+(F27*P27)-(H27*P27)</f>
        <v>39617.199999999997</v>
      </c>
      <c r="E27" s="73">
        <f>N27+G27</f>
        <v>49870</v>
      </c>
      <c r="F27" s="73">
        <f>M27*I27/30*K27</f>
        <v>-130</v>
      </c>
      <c r="G27" s="73">
        <f>G26+F27</f>
        <v>-130</v>
      </c>
      <c r="H27" s="27">
        <f>100000*O27*I27/Q27</f>
        <v>75</v>
      </c>
      <c r="I27" s="74">
        <f>F5</f>
        <v>0.01</v>
      </c>
      <c r="J27" s="27">
        <f>$J$9</f>
        <v>26</v>
      </c>
      <c r="K27" s="27">
        <f>$K$9</f>
        <v>13</v>
      </c>
      <c r="L27">
        <v>75000</v>
      </c>
      <c r="M27" s="73">
        <v>-30000</v>
      </c>
      <c r="N27">
        <f>$N$9</f>
        <v>50000</v>
      </c>
      <c r="O27" s="72">
        <f>$O$9</f>
        <v>150</v>
      </c>
      <c r="P27">
        <f>$P$9</f>
        <v>1.36</v>
      </c>
      <c r="Q27">
        <f>$Q$9</f>
        <v>2000</v>
      </c>
    </row>
    <row r="28" spans="2:17">
      <c r="B28">
        <v>2</v>
      </c>
      <c r="D28" s="73">
        <f>(E28*0.8)+(F28*P28)-(H28*P28)</f>
        <v>39375.392</v>
      </c>
      <c r="E28" s="73">
        <f>N28+G28</f>
        <v>49693.2</v>
      </c>
      <c r="F28" s="73">
        <f>M28*I28/30*K28</f>
        <v>-176.8</v>
      </c>
      <c r="G28" s="73">
        <f>G27+F28</f>
        <v>-306.8</v>
      </c>
      <c r="H28" s="27">
        <f>100000*O28*I28/Q28</f>
        <v>102.00000000000001</v>
      </c>
      <c r="I28" s="74">
        <f>I27*P28</f>
        <v>1.3600000000000001E-2</v>
      </c>
      <c r="J28" s="27">
        <f>$J$9</f>
        <v>26</v>
      </c>
      <c r="K28" s="27">
        <f>$K$9</f>
        <v>13</v>
      </c>
      <c r="L28">
        <v>75000</v>
      </c>
      <c r="M28" s="73">
        <v>-30000</v>
      </c>
      <c r="N28">
        <f>$N$9</f>
        <v>50000</v>
      </c>
      <c r="O28" s="72">
        <f>$O$9</f>
        <v>150</v>
      </c>
      <c r="P28">
        <f>$P$9</f>
        <v>1.36</v>
      </c>
      <c r="Q28">
        <f>$Q$9</f>
        <v>2000</v>
      </c>
    </row>
    <row r="29" spans="2:17">
      <c r="B29">
        <v>3</v>
      </c>
      <c r="D29" s="73">
        <f>(E29*0.8)+(F29*P29)-(H29*P29)</f>
        <v>39046.53312</v>
      </c>
      <c r="E29" s="73">
        <f>N29+G29</f>
        <v>49452.752</v>
      </c>
      <c r="F29" s="73">
        <f>M29*I29/30*K29</f>
        <v>-240.44800000000004</v>
      </c>
      <c r="G29" s="73">
        <f>G28+F29</f>
        <v>-547.24800000000005</v>
      </c>
      <c r="H29" s="27">
        <f>100000*O29*I29/Q29</f>
        <v>138.72000000000003</v>
      </c>
      <c r="I29" s="74">
        <f>I28*P29</f>
        <v>1.8496000000000002E-2</v>
      </c>
      <c r="J29" s="27">
        <f>$J$9</f>
        <v>26</v>
      </c>
      <c r="K29" s="27">
        <f>$K$9</f>
        <v>13</v>
      </c>
      <c r="L29">
        <v>75000</v>
      </c>
      <c r="M29" s="73">
        <v>-30000</v>
      </c>
      <c r="N29">
        <f>$N$9</f>
        <v>50000</v>
      </c>
      <c r="O29" s="72">
        <f>$O$9</f>
        <v>150</v>
      </c>
      <c r="P29">
        <f>$P$9</f>
        <v>1.36</v>
      </c>
      <c r="Q29">
        <f>$Q$9</f>
        <v>2000</v>
      </c>
    </row>
    <row r="30" spans="2:17">
      <c r="B30">
        <v>4</v>
      </c>
      <c r="D30" s="77">
        <f>(E30*0.8)+(F30*P30)-(H30*P30)</f>
        <v>38599.285043200005</v>
      </c>
      <c r="E30" s="73">
        <f>N30+G30</f>
        <v>49125.742720000002</v>
      </c>
      <c r="F30" s="73">
        <f>M30*I30/30*K30</f>
        <v>-327.00928000000005</v>
      </c>
      <c r="G30" s="73">
        <f>G29+F30</f>
        <v>-874.25728000000004</v>
      </c>
      <c r="H30" s="27">
        <f>100000*O30*I30/Q30</f>
        <v>188.6592</v>
      </c>
      <c r="I30" s="74">
        <f>I29*P30</f>
        <v>2.5154560000000003E-2</v>
      </c>
      <c r="J30" s="27">
        <f>$J$9</f>
        <v>26</v>
      </c>
      <c r="K30" s="27">
        <f>$K$9</f>
        <v>13</v>
      </c>
      <c r="L30">
        <v>75000</v>
      </c>
      <c r="M30" s="73">
        <v>-30000</v>
      </c>
      <c r="N30">
        <f>$N$9</f>
        <v>50000</v>
      </c>
      <c r="O30" s="72">
        <f>$O$9</f>
        <v>150</v>
      </c>
      <c r="P30">
        <f>$P$9</f>
        <v>1.36</v>
      </c>
      <c r="Q30">
        <f>$Q$9</f>
        <v>2000</v>
      </c>
    </row>
    <row r="31" spans="2:17">
      <c r="B31" s="26">
        <v>5</v>
      </c>
      <c r="C31" s="26"/>
      <c r="D31" s="76">
        <f>(E31*0.8)+(F31*P31)-(H31*P31)</f>
        <v>41010.126821668578</v>
      </c>
      <c r="E31" s="76">
        <f>N31+G31</f>
        <v>50078.741193142858</v>
      </c>
      <c r="F31" s="76">
        <f>L31*I31/70*J31</f>
        <v>952.99847314285728</v>
      </c>
      <c r="G31" s="76">
        <f>G30+F31</f>
        <v>78.741193142857242</v>
      </c>
      <c r="H31" s="27">
        <f>100000*O31*I31/Q31</f>
        <v>256.57651200000004</v>
      </c>
      <c r="I31" s="74">
        <f>I30*P31</f>
        <v>3.4210201600000004E-2</v>
      </c>
      <c r="J31" s="27">
        <f>$J$9</f>
        <v>26</v>
      </c>
      <c r="K31" s="27">
        <f>$K$9</f>
        <v>13</v>
      </c>
      <c r="L31">
        <v>75000</v>
      </c>
      <c r="M31" s="73">
        <v>-30000</v>
      </c>
      <c r="N31">
        <f>$N$9</f>
        <v>50000</v>
      </c>
      <c r="O31" s="72">
        <f>$O$9</f>
        <v>150</v>
      </c>
      <c r="P31">
        <f>$P$9</f>
        <v>1.36</v>
      </c>
      <c r="Q31">
        <f>$Q$9</f>
        <v>2000</v>
      </c>
    </row>
    <row r="32" spans="2:17">
      <c r="F32" s="73" t="s">
        <v>70</v>
      </c>
      <c r="G32" s="73">
        <f>G31/5</f>
        <v>15.748238628571448</v>
      </c>
      <c r="I32" s="74"/>
    </row>
    <row r="33" spans="2:17">
      <c r="I33" s="74"/>
    </row>
    <row r="34" spans="2:17">
      <c r="B34">
        <v>1</v>
      </c>
      <c r="C34" t="s">
        <v>75</v>
      </c>
      <c r="D34" s="73">
        <f t="shared" ref="D34:D39" si="0">(E34*0.8)+(F34*P34)-(H34*P34)</f>
        <v>39617.199999999997</v>
      </c>
      <c r="E34" s="73">
        <f t="shared" ref="E34:E39" si="1">N34+G34</f>
        <v>49870</v>
      </c>
      <c r="F34" s="73">
        <f>M34*I34/30*K34</f>
        <v>-130</v>
      </c>
      <c r="G34" s="73">
        <f t="shared" ref="G34:G39" si="2">G33+F34</f>
        <v>-130</v>
      </c>
      <c r="H34" s="27">
        <f t="shared" ref="H34:H39" si="3">100000*O34*I34/Q34</f>
        <v>75</v>
      </c>
      <c r="I34" s="74">
        <f>F5</f>
        <v>0.01</v>
      </c>
      <c r="J34" s="27">
        <f t="shared" ref="J34:J39" si="4">$J$9</f>
        <v>26</v>
      </c>
      <c r="K34" s="27">
        <f t="shared" ref="K34:K39" si="5">$K$9</f>
        <v>13</v>
      </c>
      <c r="L34">
        <v>75000</v>
      </c>
      <c r="M34" s="73">
        <v>-30000</v>
      </c>
      <c r="N34">
        <f t="shared" ref="N34:N39" si="6">$N$9</f>
        <v>50000</v>
      </c>
      <c r="O34" s="72">
        <f t="shared" ref="O34:O39" si="7">$O$9</f>
        <v>150</v>
      </c>
      <c r="P34">
        <f t="shared" ref="P34:P39" si="8">$P$9</f>
        <v>1.36</v>
      </c>
      <c r="Q34">
        <f t="shared" ref="Q34:Q39" si="9">$Q$9</f>
        <v>2000</v>
      </c>
    </row>
    <row r="35" spans="2:17">
      <c r="B35">
        <v>2</v>
      </c>
      <c r="D35" s="73">
        <f t="shared" si="0"/>
        <v>39375.392</v>
      </c>
      <c r="E35" s="73">
        <f t="shared" si="1"/>
        <v>49693.2</v>
      </c>
      <c r="F35" s="73">
        <f>M35*I35/30*K35</f>
        <v>-176.8</v>
      </c>
      <c r="G35" s="73">
        <f t="shared" si="2"/>
        <v>-306.8</v>
      </c>
      <c r="H35" s="27">
        <f t="shared" si="3"/>
        <v>102.00000000000001</v>
      </c>
      <c r="I35" s="74">
        <f>I34*P35</f>
        <v>1.3600000000000001E-2</v>
      </c>
      <c r="J35" s="27">
        <f t="shared" si="4"/>
        <v>26</v>
      </c>
      <c r="K35" s="27">
        <f t="shared" si="5"/>
        <v>13</v>
      </c>
      <c r="L35">
        <v>75000</v>
      </c>
      <c r="M35" s="73">
        <v>-30000</v>
      </c>
      <c r="N35">
        <f t="shared" si="6"/>
        <v>50000</v>
      </c>
      <c r="O35" s="72">
        <f t="shared" si="7"/>
        <v>150</v>
      </c>
      <c r="P35">
        <f t="shared" si="8"/>
        <v>1.36</v>
      </c>
      <c r="Q35">
        <f t="shared" si="9"/>
        <v>2000</v>
      </c>
    </row>
    <row r="36" spans="2:17">
      <c r="B36">
        <v>3</v>
      </c>
      <c r="D36" s="73">
        <f t="shared" si="0"/>
        <v>39046.53312</v>
      </c>
      <c r="E36" s="73">
        <f t="shared" si="1"/>
        <v>49452.752</v>
      </c>
      <c r="F36" s="73">
        <f>M36*I36/30*K36</f>
        <v>-240.44800000000004</v>
      </c>
      <c r="G36" s="73">
        <f t="shared" si="2"/>
        <v>-547.24800000000005</v>
      </c>
      <c r="H36" s="27">
        <f t="shared" si="3"/>
        <v>138.72000000000003</v>
      </c>
      <c r="I36" s="74">
        <f>I35*P36</f>
        <v>1.8496000000000002E-2</v>
      </c>
      <c r="J36" s="27">
        <f t="shared" si="4"/>
        <v>26</v>
      </c>
      <c r="K36" s="27">
        <f t="shared" si="5"/>
        <v>13</v>
      </c>
      <c r="L36">
        <v>75000</v>
      </c>
      <c r="M36" s="73">
        <v>-30000</v>
      </c>
      <c r="N36">
        <f t="shared" si="6"/>
        <v>50000</v>
      </c>
      <c r="O36" s="72">
        <f t="shared" si="7"/>
        <v>150</v>
      </c>
      <c r="P36">
        <f t="shared" si="8"/>
        <v>1.36</v>
      </c>
      <c r="Q36">
        <f t="shared" si="9"/>
        <v>2000</v>
      </c>
    </row>
    <row r="37" spans="2:17">
      <c r="B37">
        <v>4</v>
      </c>
      <c r="D37" s="73">
        <f t="shared" si="0"/>
        <v>38599.285043200005</v>
      </c>
      <c r="E37" s="73">
        <f t="shared" si="1"/>
        <v>49125.742720000002</v>
      </c>
      <c r="F37" s="73">
        <f>M37*I37/30*K37</f>
        <v>-327.00928000000005</v>
      </c>
      <c r="G37" s="73">
        <f t="shared" si="2"/>
        <v>-874.25728000000004</v>
      </c>
      <c r="H37" s="27">
        <f t="shared" si="3"/>
        <v>188.6592</v>
      </c>
      <c r="I37" s="74">
        <f>I36*P37</f>
        <v>2.5154560000000003E-2</v>
      </c>
      <c r="J37" s="27">
        <f t="shared" si="4"/>
        <v>26</v>
      </c>
      <c r="K37" s="27">
        <f t="shared" si="5"/>
        <v>13</v>
      </c>
      <c r="L37">
        <v>75000</v>
      </c>
      <c r="M37" s="73">
        <v>-30000</v>
      </c>
      <c r="N37">
        <f t="shared" si="6"/>
        <v>50000</v>
      </c>
      <c r="O37" s="72">
        <f t="shared" si="7"/>
        <v>150</v>
      </c>
      <c r="P37">
        <f t="shared" si="8"/>
        <v>1.36</v>
      </c>
      <c r="Q37">
        <f t="shared" si="9"/>
        <v>2000</v>
      </c>
    </row>
    <row r="38" spans="2:17">
      <c r="B38">
        <v>5</v>
      </c>
      <c r="D38" s="77">
        <f t="shared" si="0"/>
        <v>37991.027658752006</v>
      </c>
      <c r="E38" s="73">
        <f t="shared" si="1"/>
        <v>48681.010099200001</v>
      </c>
      <c r="F38" s="73">
        <f>M38*I38/30*K38</f>
        <v>-444.73262080000006</v>
      </c>
      <c r="G38" s="73">
        <f t="shared" si="2"/>
        <v>-1318.9899008000002</v>
      </c>
      <c r="H38" s="27">
        <f t="shared" si="3"/>
        <v>256.57651200000004</v>
      </c>
      <c r="I38" s="74">
        <f>I37*P38</f>
        <v>3.4210201600000004E-2</v>
      </c>
      <c r="J38" s="27">
        <f t="shared" si="4"/>
        <v>26</v>
      </c>
      <c r="K38" s="27">
        <f t="shared" si="5"/>
        <v>13</v>
      </c>
      <c r="L38">
        <v>75000</v>
      </c>
      <c r="M38" s="73">
        <v>-30000</v>
      </c>
      <c r="N38">
        <f t="shared" si="6"/>
        <v>50000</v>
      </c>
      <c r="O38" s="72">
        <f t="shared" si="7"/>
        <v>150</v>
      </c>
      <c r="P38">
        <f t="shared" si="8"/>
        <v>1.36</v>
      </c>
      <c r="Q38">
        <f t="shared" si="9"/>
        <v>2000</v>
      </c>
    </row>
    <row r="39" spans="2:17">
      <c r="B39" s="26">
        <v>6</v>
      </c>
      <c r="C39" s="26"/>
      <c r="D39" s="76">
        <f t="shared" si="0"/>
        <v>41269.772477469262</v>
      </c>
      <c r="E39" s="76">
        <f t="shared" si="1"/>
        <v>49977.088022674288</v>
      </c>
      <c r="F39" s="76">
        <f>L39*I39/70*J39</f>
        <v>1296.0779234742861</v>
      </c>
      <c r="G39" s="76">
        <f t="shared" si="2"/>
        <v>-22.911977325714133</v>
      </c>
      <c r="H39" s="27">
        <f t="shared" si="3"/>
        <v>348.94405632000002</v>
      </c>
      <c r="I39" s="74">
        <f>I38*P39</f>
        <v>4.6525874176000008E-2</v>
      </c>
      <c r="J39" s="27">
        <f t="shared" si="4"/>
        <v>26</v>
      </c>
      <c r="K39" s="27">
        <f t="shared" si="5"/>
        <v>13</v>
      </c>
      <c r="L39">
        <v>75000</v>
      </c>
      <c r="M39" s="73">
        <v>-30000</v>
      </c>
      <c r="N39">
        <f t="shared" si="6"/>
        <v>50000</v>
      </c>
      <c r="O39" s="72">
        <f t="shared" si="7"/>
        <v>150</v>
      </c>
      <c r="P39">
        <f t="shared" si="8"/>
        <v>1.36</v>
      </c>
      <c r="Q39">
        <f t="shared" si="9"/>
        <v>2000</v>
      </c>
    </row>
    <row r="40" spans="2:17">
      <c r="F40" s="73" t="s">
        <v>70</v>
      </c>
      <c r="G40" s="73">
        <f>G39/6</f>
        <v>-3.8186628876190221</v>
      </c>
      <c r="I40" s="74"/>
    </row>
    <row r="41" spans="2:17">
      <c r="I41" s="74"/>
    </row>
    <row r="42" spans="2:17">
      <c r="B42">
        <v>1</v>
      </c>
      <c r="C42" t="s">
        <v>74</v>
      </c>
      <c r="D42" s="73">
        <f t="shared" ref="D42:D48" si="10">(E42*0.8)+(F42*P42)-(H42*P42)</f>
        <v>39617.199999999997</v>
      </c>
      <c r="E42" s="73">
        <f t="shared" ref="E42:E48" si="11">N42+G42</f>
        <v>49870</v>
      </c>
      <c r="F42" s="73">
        <f t="shared" ref="F42:F47" si="12">M42*I42/30*K42</f>
        <v>-130</v>
      </c>
      <c r="G42" s="73">
        <f t="shared" ref="G42:G48" si="13">G41+F42</f>
        <v>-130</v>
      </c>
      <c r="H42" s="27">
        <f t="shared" ref="H42:H48" si="14">100000*O42*I42/Q42</f>
        <v>75</v>
      </c>
      <c r="I42" s="74">
        <f>F5</f>
        <v>0.01</v>
      </c>
      <c r="J42" s="27">
        <f t="shared" ref="J42:J48" si="15">$J$9</f>
        <v>26</v>
      </c>
      <c r="K42" s="27">
        <f t="shared" ref="K42:K48" si="16">$K$9</f>
        <v>13</v>
      </c>
      <c r="L42">
        <v>75000</v>
      </c>
      <c r="M42" s="73">
        <v>-30000</v>
      </c>
      <c r="N42">
        <f t="shared" ref="N42:N48" si="17">$N$9</f>
        <v>50000</v>
      </c>
      <c r="O42" s="72">
        <f t="shared" ref="O42:O48" si="18">$O$9</f>
        <v>150</v>
      </c>
      <c r="P42">
        <f t="shared" ref="P42:P48" si="19">$P$9</f>
        <v>1.36</v>
      </c>
      <c r="Q42">
        <f t="shared" ref="Q42:Q48" si="20">$Q$9</f>
        <v>2000</v>
      </c>
    </row>
    <row r="43" spans="2:17">
      <c r="B43">
        <v>2</v>
      </c>
      <c r="D43" s="73">
        <f t="shared" si="10"/>
        <v>39375.392</v>
      </c>
      <c r="E43" s="73">
        <f t="shared" si="11"/>
        <v>49693.2</v>
      </c>
      <c r="F43" s="73">
        <f t="shared" si="12"/>
        <v>-176.8</v>
      </c>
      <c r="G43" s="73">
        <f t="shared" si="13"/>
        <v>-306.8</v>
      </c>
      <c r="H43" s="27">
        <f t="shared" si="14"/>
        <v>102.00000000000001</v>
      </c>
      <c r="I43" s="74">
        <f t="shared" ref="I43:I48" si="21">I42*P43</f>
        <v>1.3600000000000001E-2</v>
      </c>
      <c r="J43" s="27">
        <f t="shared" si="15"/>
        <v>26</v>
      </c>
      <c r="K43" s="27">
        <f t="shared" si="16"/>
        <v>13</v>
      </c>
      <c r="L43">
        <v>75000</v>
      </c>
      <c r="M43" s="73">
        <v>-30000</v>
      </c>
      <c r="N43">
        <f t="shared" si="17"/>
        <v>50000</v>
      </c>
      <c r="O43" s="72">
        <f t="shared" si="18"/>
        <v>150</v>
      </c>
      <c r="P43">
        <f t="shared" si="19"/>
        <v>1.36</v>
      </c>
      <c r="Q43">
        <f t="shared" si="20"/>
        <v>2000</v>
      </c>
    </row>
    <row r="44" spans="2:17">
      <c r="B44">
        <v>3</v>
      </c>
      <c r="D44" s="73">
        <f t="shared" si="10"/>
        <v>39046.53312</v>
      </c>
      <c r="E44" s="73">
        <f t="shared" si="11"/>
        <v>49452.752</v>
      </c>
      <c r="F44" s="73">
        <f t="shared" si="12"/>
        <v>-240.44800000000004</v>
      </c>
      <c r="G44" s="73">
        <f t="shared" si="13"/>
        <v>-547.24800000000005</v>
      </c>
      <c r="H44" s="27">
        <f t="shared" si="14"/>
        <v>138.72000000000003</v>
      </c>
      <c r="I44" s="74">
        <f t="shared" si="21"/>
        <v>1.8496000000000002E-2</v>
      </c>
      <c r="J44" s="27">
        <f t="shared" si="15"/>
        <v>26</v>
      </c>
      <c r="K44" s="27">
        <f t="shared" si="16"/>
        <v>13</v>
      </c>
      <c r="L44">
        <v>75000</v>
      </c>
      <c r="M44" s="73">
        <v>-30000</v>
      </c>
      <c r="N44">
        <f t="shared" si="17"/>
        <v>50000</v>
      </c>
      <c r="O44" s="72">
        <f t="shared" si="18"/>
        <v>150</v>
      </c>
      <c r="P44">
        <f t="shared" si="19"/>
        <v>1.36</v>
      </c>
      <c r="Q44">
        <f t="shared" si="20"/>
        <v>2000</v>
      </c>
    </row>
    <row r="45" spans="2:17">
      <c r="B45">
        <v>4</v>
      </c>
      <c r="D45" s="73">
        <f t="shared" si="10"/>
        <v>38599.285043200005</v>
      </c>
      <c r="E45" s="73">
        <f t="shared" si="11"/>
        <v>49125.742720000002</v>
      </c>
      <c r="F45" s="73">
        <f t="shared" si="12"/>
        <v>-327.00928000000005</v>
      </c>
      <c r="G45" s="73">
        <f t="shared" si="13"/>
        <v>-874.25728000000004</v>
      </c>
      <c r="H45" s="27">
        <f t="shared" si="14"/>
        <v>188.6592</v>
      </c>
      <c r="I45" s="74">
        <f t="shared" si="21"/>
        <v>2.5154560000000003E-2</v>
      </c>
      <c r="J45" s="27">
        <f t="shared" si="15"/>
        <v>26</v>
      </c>
      <c r="K45" s="27">
        <f t="shared" si="16"/>
        <v>13</v>
      </c>
      <c r="L45">
        <v>75000</v>
      </c>
      <c r="M45" s="73">
        <v>-30000</v>
      </c>
      <c r="N45">
        <f t="shared" si="17"/>
        <v>50000</v>
      </c>
      <c r="O45" s="72">
        <f t="shared" si="18"/>
        <v>150</v>
      </c>
      <c r="P45">
        <f t="shared" si="19"/>
        <v>1.36</v>
      </c>
      <c r="Q45">
        <f t="shared" si="20"/>
        <v>2000</v>
      </c>
    </row>
    <row r="46" spans="2:17">
      <c r="B46">
        <v>5</v>
      </c>
      <c r="D46" s="73">
        <f t="shared" si="10"/>
        <v>37991.027658752006</v>
      </c>
      <c r="E46" s="73">
        <f t="shared" si="11"/>
        <v>48681.010099200001</v>
      </c>
      <c r="F46" s="73">
        <f t="shared" si="12"/>
        <v>-444.73262080000006</v>
      </c>
      <c r="G46" s="73">
        <f t="shared" si="13"/>
        <v>-1318.9899008000002</v>
      </c>
      <c r="H46" s="27">
        <f t="shared" si="14"/>
        <v>256.57651200000004</v>
      </c>
      <c r="I46" s="74">
        <f t="shared" si="21"/>
        <v>3.4210201600000004E-2</v>
      </c>
      <c r="J46" s="27">
        <f t="shared" si="15"/>
        <v>26</v>
      </c>
      <c r="K46" s="27">
        <f t="shared" si="16"/>
        <v>13</v>
      </c>
      <c r="L46">
        <v>75000</v>
      </c>
      <c r="M46" s="73">
        <v>-30000</v>
      </c>
      <c r="N46">
        <f t="shared" si="17"/>
        <v>50000</v>
      </c>
      <c r="O46" s="72">
        <f t="shared" si="18"/>
        <v>150</v>
      </c>
      <c r="P46">
        <f t="shared" si="19"/>
        <v>1.36</v>
      </c>
      <c r="Q46">
        <f t="shared" si="20"/>
        <v>2000</v>
      </c>
    </row>
    <row r="47" spans="2:17">
      <c r="B47">
        <v>6</v>
      </c>
      <c r="D47" s="77">
        <f t="shared" si="10"/>
        <v>37163.797615902717</v>
      </c>
      <c r="E47" s="73">
        <f t="shared" si="11"/>
        <v>48076.173734912001</v>
      </c>
      <c r="F47" s="73">
        <f t="shared" si="12"/>
        <v>-604.83636428800014</v>
      </c>
      <c r="G47" s="73">
        <f t="shared" si="13"/>
        <v>-1923.8262650880004</v>
      </c>
      <c r="H47" s="27">
        <f t="shared" si="14"/>
        <v>348.94405632000002</v>
      </c>
      <c r="I47" s="74">
        <f t="shared" si="21"/>
        <v>4.6525874176000008E-2</v>
      </c>
      <c r="J47" s="27">
        <f t="shared" si="15"/>
        <v>26</v>
      </c>
      <c r="K47" s="27">
        <f t="shared" si="16"/>
        <v>13</v>
      </c>
      <c r="L47">
        <v>75000</v>
      </c>
      <c r="M47" s="73">
        <v>-30000</v>
      </c>
      <c r="N47">
        <f t="shared" si="17"/>
        <v>50000</v>
      </c>
      <c r="O47" s="72">
        <f t="shared" si="18"/>
        <v>150</v>
      </c>
      <c r="P47">
        <f t="shared" si="19"/>
        <v>1.36</v>
      </c>
      <c r="Q47">
        <f t="shared" si="20"/>
        <v>2000</v>
      </c>
    </row>
    <row r="48" spans="2:17">
      <c r="B48" s="26">
        <v>7</v>
      </c>
      <c r="C48" s="26"/>
      <c r="D48" s="76">
        <f t="shared" si="10"/>
        <v>41622.890569358191</v>
      </c>
      <c r="E48" s="76">
        <f t="shared" si="11"/>
        <v>49838.839710837026</v>
      </c>
      <c r="F48" s="76">
        <f>L48*I48/70*J48</f>
        <v>1762.6659759250285</v>
      </c>
      <c r="G48" s="76">
        <f t="shared" si="13"/>
        <v>-161.16028916297182</v>
      </c>
      <c r="H48" s="27">
        <f t="shared" si="14"/>
        <v>474.56391659520006</v>
      </c>
      <c r="I48" s="74">
        <f t="shared" si="21"/>
        <v>6.3275188879360011E-2</v>
      </c>
      <c r="J48" s="27">
        <f t="shared" si="15"/>
        <v>26</v>
      </c>
      <c r="K48" s="27">
        <f t="shared" si="16"/>
        <v>13</v>
      </c>
      <c r="L48">
        <v>75000</v>
      </c>
      <c r="M48" s="73">
        <v>-30000</v>
      </c>
      <c r="N48">
        <f t="shared" si="17"/>
        <v>50000</v>
      </c>
      <c r="O48" s="72">
        <f t="shared" si="18"/>
        <v>150</v>
      </c>
      <c r="P48">
        <f t="shared" si="19"/>
        <v>1.36</v>
      </c>
      <c r="Q48">
        <f t="shared" si="20"/>
        <v>2000</v>
      </c>
    </row>
    <row r="49" spans="2:17">
      <c r="F49" s="73" t="s">
        <v>70</v>
      </c>
      <c r="G49" s="73">
        <f>G48/7</f>
        <v>-23.022898451853116</v>
      </c>
      <c r="I49" s="74"/>
    </row>
    <row r="50" spans="2:17">
      <c r="I50" s="74"/>
    </row>
    <row r="51" spans="2:17">
      <c r="B51">
        <v>1</v>
      </c>
      <c r="C51" t="s">
        <v>73</v>
      </c>
      <c r="D51" s="73">
        <f t="shared" ref="D51:D58" si="22">(E51*0.8)+(F51*P51)-(H51*P51)</f>
        <v>39617.199999999997</v>
      </c>
      <c r="E51" s="73">
        <f t="shared" ref="E51:E58" si="23">N51+G51</f>
        <v>49870</v>
      </c>
      <c r="F51" s="73">
        <f t="shared" ref="F51:F57" si="24">M51*I51/30*K51</f>
        <v>-130</v>
      </c>
      <c r="G51" s="73">
        <f t="shared" ref="G51:G58" si="25">G50+F51</f>
        <v>-130</v>
      </c>
      <c r="H51" s="27">
        <f t="shared" ref="H51:H58" si="26">100000*O51*I51/Q51</f>
        <v>75</v>
      </c>
      <c r="I51" s="74">
        <f>F5</f>
        <v>0.01</v>
      </c>
      <c r="J51" s="27">
        <f t="shared" ref="J51:J58" si="27">$J$9</f>
        <v>26</v>
      </c>
      <c r="K51" s="27">
        <f t="shared" ref="K51:K58" si="28">$K$9</f>
        <v>13</v>
      </c>
      <c r="L51">
        <v>75000</v>
      </c>
      <c r="M51" s="73">
        <v>-30000</v>
      </c>
      <c r="N51">
        <f t="shared" ref="N51:N58" si="29">$N$9</f>
        <v>50000</v>
      </c>
      <c r="O51" s="72">
        <f t="shared" ref="O51:O58" si="30">$O$9</f>
        <v>150</v>
      </c>
      <c r="P51">
        <f t="shared" ref="P51:P58" si="31">$P$9</f>
        <v>1.36</v>
      </c>
      <c r="Q51">
        <f t="shared" ref="Q51:Q58" si="32">$Q$9</f>
        <v>2000</v>
      </c>
    </row>
    <row r="52" spans="2:17">
      <c r="B52">
        <v>2</v>
      </c>
      <c r="D52" s="73">
        <f t="shared" si="22"/>
        <v>39375.392</v>
      </c>
      <c r="E52" s="73">
        <f t="shared" si="23"/>
        <v>49693.2</v>
      </c>
      <c r="F52" s="73">
        <f t="shared" si="24"/>
        <v>-176.8</v>
      </c>
      <c r="G52" s="73">
        <f t="shared" si="25"/>
        <v>-306.8</v>
      </c>
      <c r="H52" s="27">
        <f t="shared" si="26"/>
        <v>102.00000000000001</v>
      </c>
      <c r="I52" s="74">
        <f t="shared" ref="I52:I58" si="33">I51*P52</f>
        <v>1.3600000000000001E-2</v>
      </c>
      <c r="J52" s="27">
        <f t="shared" si="27"/>
        <v>26</v>
      </c>
      <c r="K52" s="27">
        <f t="shared" si="28"/>
        <v>13</v>
      </c>
      <c r="L52">
        <v>75000</v>
      </c>
      <c r="M52" s="73">
        <v>-30000</v>
      </c>
      <c r="N52">
        <f t="shared" si="29"/>
        <v>50000</v>
      </c>
      <c r="O52" s="72">
        <f t="shared" si="30"/>
        <v>150</v>
      </c>
      <c r="P52">
        <f t="shared" si="31"/>
        <v>1.36</v>
      </c>
      <c r="Q52">
        <f t="shared" si="32"/>
        <v>2000</v>
      </c>
    </row>
    <row r="53" spans="2:17">
      <c r="B53">
        <v>3</v>
      </c>
      <c r="D53" s="73">
        <f t="shared" si="22"/>
        <v>39046.53312</v>
      </c>
      <c r="E53" s="73">
        <f t="shared" si="23"/>
        <v>49452.752</v>
      </c>
      <c r="F53" s="73">
        <f t="shared" si="24"/>
        <v>-240.44800000000004</v>
      </c>
      <c r="G53" s="73">
        <f t="shared" si="25"/>
        <v>-547.24800000000005</v>
      </c>
      <c r="H53" s="27">
        <f t="shared" si="26"/>
        <v>138.72000000000003</v>
      </c>
      <c r="I53" s="74">
        <f t="shared" si="33"/>
        <v>1.8496000000000002E-2</v>
      </c>
      <c r="J53" s="27">
        <f t="shared" si="27"/>
        <v>26</v>
      </c>
      <c r="K53" s="27">
        <f t="shared" si="28"/>
        <v>13</v>
      </c>
      <c r="L53">
        <v>75000</v>
      </c>
      <c r="M53" s="73">
        <v>-30000</v>
      </c>
      <c r="N53">
        <f t="shared" si="29"/>
        <v>50000</v>
      </c>
      <c r="O53" s="72">
        <f t="shared" si="30"/>
        <v>150</v>
      </c>
      <c r="P53">
        <f t="shared" si="31"/>
        <v>1.36</v>
      </c>
      <c r="Q53">
        <f t="shared" si="32"/>
        <v>2000</v>
      </c>
    </row>
    <row r="54" spans="2:17">
      <c r="B54">
        <v>4</v>
      </c>
      <c r="D54" s="73">
        <f t="shared" si="22"/>
        <v>38599.285043200005</v>
      </c>
      <c r="E54" s="73">
        <f t="shared" si="23"/>
        <v>49125.742720000002</v>
      </c>
      <c r="F54" s="73">
        <f t="shared" si="24"/>
        <v>-327.00928000000005</v>
      </c>
      <c r="G54" s="73">
        <f t="shared" si="25"/>
        <v>-874.25728000000004</v>
      </c>
      <c r="H54" s="27">
        <f t="shared" si="26"/>
        <v>188.6592</v>
      </c>
      <c r="I54" s="74">
        <f t="shared" si="33"/>
        <v>2.5154560000000003E-2</v>
      </c>
      <c r="J54" s="27">
        <f t="shared" si="27"/>
        <v>26</v>
      </c>
      <c r="K54" s="27">
        <f t="shared" si="28"/>
        <v>13</v>
      </c>
      <c r="L54">
        <v>75000</v>
      </c>
      <c r="M54" s="73">
        <v>-30000</v>
      </c>
      <c r="N54">
        <f t="shared" si="29"/>
        <v>50000</v>
      </c>
      <c r="O54" s="72">
        <f t="shared" si="30"/>
        <v>150</v>
      </c>
      <c r="P54">
        <f t="shared" si="31"/>
        <v>1.36</v>
      </c>
      <c r="Q54">
        <f t="shared" si="32"/>
        <v>2000</v>
      </c>
    </row>
    <row r="55" spans="2:17">
      <c r="B55">
        <v>5</v>
      </c>
      <c r="D55" s="73">
        <f t="shared" si="22"/>
        <v>37991.027658752006</v>
      </c>
      <c r="E55" s="73">
        <f t="shared" si="23"/>
        <v>48681.010099200001</v>
      </c>
      <c r="F55" s="73">
        <f t="shared" si="24"/>
        <v>-444.73262080000006</v>
      </c>
      <c r="G55" s="73">
        <f t="shared" si="25"/>
        <v>-1318.9899008000002</v>
      </c>
      <c r="H55" s="27">
        <f t="shared" si="26"/>
        <v>256.57651200000004</v>
      </c>
      <c r="I55" s="74">
        <f t="shared" si="33"/>
        <v>3.4210201600000004E-2</v>
      </c>
      <c r="J55" s="27">
        <f t="shared" si="27"/>
        <v>26</v>
      </c>
      <c r="K55" s="27">
        <f t="shared" si="28"/>
        <v>13</v>
      </c>
      <c r="L55">
        <v>75000</v>
      </c>
      <c r="M55" s="73">
        <v>-30000</v>
      </c>
      <c r="N55">
        <f t="shared" si="29"/>
        <v>50000</v>
      </c>
      <c r="O55" s="72">
        <f t="shared" si="30"/>
        <v>150</v>
      </c>
      <c r="P55">
        <f t="shared" si="31"/>
        <v>1.36</v>
      </c>
      <c r="Q55">
        <f t="shared" si="32"/>
        <v>2000</v>
      </c>
    </row>
    <row r="56" spans="2:17">
      <c r="B56">
        <v>6</v>
      </c>
      <c r="D56" s="73">
        <f t="shared" si="22"/>
        <v>37163.797615902717</v>
      </c>
      <c r="E56" s="73">
        <f t="shared" si="23"/>
        <v>48076.173734912001</v>
      </c>
      <c r="F56" s="73">
        <f t="shared" si="24"/>
        <v>-604.83636428800014</v>
      </c>
      <c r="G56" s="73">
        <f t="shared" si="25"/>
        <v>-1923.8262650880004</v>
      </c>
      <c r="H56" s="27">
        <f t="shared" si="26"/>
        <v>348.94405632000002</v>
      </c>
      <c r="I56" s="74">
        <f t="shared" si="33"/>
        <v>4.6525874176000008E-2</v>
      </c>
      <c r="J56" s="27">
        <f t="shared" si="27"/>
        <v>26</v>
      </c>
      <c r="K56" s="27">
        <f t="shared" si="28"/>
        <v>13</v>
      </c>
      <c r="L56">
        <v>75000</v>
      </c>
      <c r="M56" s="73">
        <v>-30000</v>
      </c>
      <c r="N56">
        <f t="shared" si="29"/>
        <v>50000</v>
      </c>
      <c r="O56" s="72">
        <f t="shared" si="30"/>
        <v>150</v>
      </c>
      <c r="P56">
        <f t="shared" si="31"/>
        <v>1.36</v>
      </c>
      <c r="Q56">
        <f t="shared" si="32"/>
        <v>2000</v>
      </c>
    </row>
    <row r="57" spans="2:17">
      <c r="B57">
        <v>7</v>
      </c>
      <c r="D57" s="77">
        <f t="shared" si="22"/>
        <v>36038.764757627701</v>
      </c>
      <c r="E57" s="73">
        <f t="shared" si="23"/>
        <v>47253.59627948032</v>
      </c>
      <c r="F57" s="73">
        <f t="shared" si="24"/>
        <v>-822.57745543168016</v>
      </c>
      <c r="G57" s="73">
        <f t="shared" si="25"/>
        <v>-2746.4037205196805</v>
      </c>
      <c r="H57" s="27">
        <f t="shared" si="26"/>
        <v>474.56391659520006</v>
      </c>
      <c r="I57" s="74">
        <f t="shared" si="33"/>
        <v>6.3275188879360011E-2</v>
      </c>
      <c r="J57" s="27">
        <f t="shared" si="27"/>
        <v>26</v>
      </c>
      <c r="K57" s="27">
        <f t="shared" si="28"/>
        <v>13</v>
      </c>
      <c r="L57">
        <v>75000</v>
      </c>
      <c r="M57" s="73">
        <v>-30000</v>
      </c>
      <c r="N57">
        <f t="shared" si="29"/>
        <v>50000</v>
      </c>
      <c r="O57" s="72">
        <f t="shared" si="30"/>
        <v>150</v>
      </c>
      <c r="P57">
        <f t="shared" si="31"/>
        <v>1.36</v>
      </c>
      <c r="Q57">
        <f t="shared" si="32"/>
        <v>2000</v>
      </c>
    </row>
    <row r="58" spans="2:17">
      <c r="B58" s="26">
        <v>8</v>
      </c>
      <c r="C58" s="26"/>
      <c r="D58" s="76">
        <f t="shared" si="22"/>
        <v>42103.131174327144</v>
      </c>
      <c r="E58" s="76">
        <f t="shared" si="23"/>
        <v>49650.822006738359</v>
      </c>
      <c r="F58" s="76">
        <f>L58*I58/70*J58</f>
        <v>2397.2257272580391</v>
      </c>
      <c r="G58" s="76">
        <f t="shared" si="25"/>
        <v>-349.1779932616414</v>
      </c>
      <c r="H58" s="27">
        <f t="shared" si="26"/>
        <v>645.40692656947203</v>
      </c>
      <c r="I58" s="74">
        <f t="shared" si="33"/>
        <v>8.6054256875929616E-2</v>
      </c>
      <c r="J58" s="27">
        <f t="shared" si="27"/>
        <v>26</v>
      </c>
      <c r="K58" s="27">
        <f t="shared" si="28"/>
        <v>13</v>
      </c>
      <c r="L58">
        <v>75000</v>
      </c>
      <c r="M58" s="73">
        <v>-30000</v>
      </c>
      <c r="N58">
        <f t="shared" si="29"/>
        <v>50000</v>
      </c>
      <c r="O58" s="72">
        <f t="shared" si="30"/>
        <v>150</v>
      </c>
      <c r="P58">
        <f t="shared" si="31"/>
        <v>1.36</v>
      </c>
      <c r="Q58">
        <f t="shared" si="32"/>
        <v>2000</v>
      </c>
    </row>
    <row r="59" spans="2:17">
      <c r="F59" s="73" t="s">
        <v>70</v>
      </c>
      <c r="G59" s="73">
        <f>G58/8</f>
        <v>-43.647249157705176</v>
      </c>
      <c r="I59" s="74"/>
    </row>
    <row r="60" spans="2:17">
      <c r="I60" s="74"/>
    </row>
    <row r="61" spans="2:17">
      <c r="B61">
        <v>1</v>
      </c>
      <c r="C61" t="s">
        <v>72</v>
      </c>
      <c r="D61" s="73">
        <f t="shared" ref="D61:D69" si="34">(E61*0.8)+(F61*P61)-(H61*P61)</f>
        <v>39617.199999999997</v>
      </c>
      <c r="E61" s="73">
        <f t="shared" ref="E61:E69" si="35">N61+G61</f>
        <v>49870</v>
      </c>
      <c r="F61" s="73">
        <f t="shared" ref="F61:F68" si="36">M61*I61/30*K61</f>
        <v>-130</v>
      </c>
      <c r="G61" s="73">
        <f t="shared" ref="G61:G69" si="37">G60+F61</f>
        <v>-130</v>
      </c>
      <c r="H61" s="27">
        <f t="shared" ref="H61:H69" si="38">100000*O61*I61/Q61</f>
        <v>75</v>
      </c>
      <c r="I61" s="74">
        <f>F5</f>
        <v>0.01</v>
      </c>
      <c r="J61" s="27">
        <f t="shared" ref="J61:J69" si="39">$J$9</f>
        <v>26</v>
      </c>
      <c r="K61" s="27">
        <f t="shared" ref="K61:K69" si="40">$K$9</f>
        <v>13</v>
      </c>
      <c r="L61">
        <v>75000</v>
      </c>
      <c r="M61" s="73">
        <v>-30000</v>
      </c>
      <c r="N61">
        <f t="shared" ref="N61:N69" si="41">$N$9</f>
        <v>50000</v>
      </c>
      <c r="O61" s="72">
        <f t="shared" ref="O61:O69" si="42">$O$9</f>
        <v>150</v>
      </c>
      <c r="P61">
        <f t="shared" ref="P61:P69" si="43">$P$9</f>
        <v>1.36</v>
      </c>
      <c r="Q61">
        <f t="shared" ref="Q61:Q69" si="44">$Q$9</f>
        <v>2000</v>
      </c>
    </row>
    <row r="62" spans="2:17">
      <c r="B62">
        <v>2</v>
      </c>
      <c r="D62" s="73">
        <f t="shared" si="34"/>
        <v>39375.392</v>
      </c>
      <c r="E62" s="73">
        <f t="shared" si="35"/>
        <v>49693.2</v>
      </c>
      <c r="F62" s="73">
        <f t="shared" si="36"/>
        <v>-176.8</v>
      </c>
      <c r="G62" s="73">
        <f t="shared" si="37"/>
        <v>-306.8</v>
      </c>
      <c r="H62" s="27">
        <f t="shared" si="38"/>
        <v>102.00000000000001</v>
      </c>
      <c r="I62" s="74">
        <f t="shared" ref="I62:I69" si="45">I61*P62</f>
        <v>1.3600000000000001E-2</v>
      </c>
      <c r="J62" s="27">
        <f t="shared" si="39"/>
        <v>26</v>
      </c>
      <c r="K62" s="27">
        <f t="shared" si="40"/>
        <v>13</v>
      </c>
      <c r="L62">
        <v>75000</v>
      </c>
      <c r="M62" s="73">
        <v>-30000</v>
      </c>
      <c r="N62">
        <f t="shared" si="41"/>
        <v>50000</v>
      </c>
      <c r="O62" s="72">
        <f t="shared" si="42"/>
        <v>150</v>
      </c>
      <c r="P62">
        <f t="shared" si="43"/>
        <v>1.36</v>
      </c>
      <c r="Q62">
        <f t="shared" si="44"/>
        <v>2000</v>
      </c>
    </row>
    <row r="63" spans="2:17">
      <c r="B63">
        <v>3</v>
      </c>
      <c r="D63" s="73">
        <f t="shared" si="34"/>
        <v>39046.53312</v>
      </c>
      <c r="E63" s="73">
        <f t="shared" si="35"/>
        <v>49452.752</v>
      </c>
      <c r="F63" s="73">
        <f t="shared" si="36"/>
        <v>-240.44800000000004</v>
      </c>
      <c r="G63" s="73">
        <f t="shared" si="37"/>
        <v>-547.24800000000005</v>
      </c>
      <c r="H63" s="27">
        <f t="shared" si="38"/>
        <v>138.72000000000003</v>
      </c>
      <c r="I63" s="74">
        <f t="shared" si="45"/>
        <v>1.8496000000000002E-2</v>
      </c>
      <c r="J63" s="27">
        <f t="shared" si="39"/>
        <v>26</v>
      </c>
      <c r="K63" s="27">
        <f t="shared" si="40"/>
        <v>13</v>
      </c>
      <c r="L63">
        <v>75000</v>
      </c>
      <c r="M63" s="73">
        <v>-30000</v>
      </c>
      <c r="N63">
        <f t="shared" si="41"/>
        <v>50000</v>
      </c>
      <c r="O63" s="72">
        <f t="shared" si="42"/>
        <v>150</v>
      </c>
      <c r="P63">
        <f t="shared" si="43"/>
        <v>1.36</v>
      </c>
      <c r="Q63">
        <f t="shared" si="44"/>
        <v>2000</v>
      </c>
    </row>
    <row r="64" spans="2:17">
      <c r="B64">
        <v>4</v>
      </c>
      <c r="D64" s="73">
        <f t="shared" si="34"/>
        <v>38599.285043200005</v>
      </c>
      <c r="E64" s="73">
        <f t="shared" si="35"/>
        <v>49125.742720000002</v>
      </c>
      <c r="F64" s="73">
        <f t="shared" si="36"/>
        <v>-327.00928000000005</v>
      </c>
      <c r="G64" s="73">
        <f t="shared" si="37"/>
        <v>-874.25728000000004</v>
      </c>
      <c r="H64" s="27">
        <f t="shared" si="38"/>
        <v>188.6592</v>
      </c>
      <c r="I64" s="74">
        <f t="shared" si="45"/>
        <v>2.5154560000000003E-2</v>
      </c>
      <c r="J64" s="27">
        <f t="shared" si="39"/>
        <v>26</v>
      </c>
      <c r="K64" s="27">
        <f t="shared" si="40"/>
        <v>13</v>
      </c>
      <c r="L64">
        <v>75000</v>
      </c>
      <c r="M64" s="73">
        <v>-30000</v>
      </c>
      <c r="N64">
        <f t="shared" si="41"/>
        <v>50000</v>
      </c>
      <c r="O64" s="72">
        <f t="shared" si="42"/>
        <v>150</v>
      </c>
      <c r="P64">
        <f t="shared" si="43"/>
        <v>1.36</v>
      </c>
      <c r="Q64">
        <f t="shared" si="44"/>
        <v>2000</v>
      </c>
    </row>
    <row r="65" spans="2:17">
      <c r="B65">
        <v>5</v>
      </c>
      <c r="D65" s="73">
        <f t="shared" si="34"/>
        <v>37991.027658752006</v>
      </c>
      <c r="E65" s="73">
        <f t="shared" si="35"/>
        <v>48681.010099200001</v>
      </c>
      <c r="F65" s="73">
        <f t="shared" si="36"/>
        <v>-444.73262080000006</v>
      </c>
      <c r="G65" s="73">
        <f t="shared" si="37"/>
        <v>-1318.9899008000002</v>
      </c>
      <c r="H65" s="27">
        <f t="shared" si="38"/>
        <v>256.57651200000004</v>
      </c>
      <c r="I65" s="74">
        <f t="shared" si="45"/>
        <v>3.4210201600000004E-2</v>
      </c>
      <c r="J65" s="27">
        <f t="shared" si="39"/>
        <v>26</v>
      </c>
      <c r="K65" s="27">
        <f t="shared" si="40"/>
        <v>13</v>
      </c>
      <c r="L65">
        <v>75000</v>
      </c>
      <c r="M65" s="73">
        <v>-30000</v>
      </c>
      <c r="N65">
        <f t="shared" si="41"/>
        <v>50000</v>
      </c>
      <c r="O65" s="72">
        <f t="shared" si="42"/>
        <v>150</v>
      </c>
      <c r="P65">
        <f t="shared" si="43"/>
        <v>1.36</v>
      </c>
      <c r="Q65">
        <f t="shared" si="44"/>
        <v>2000</v>
      </c>
    </row>
    <row r="66" spans="2:17">
      <c r="B66">
        <v>6</v>
      </c>
      <c r="D66" s="73">
        <f t="shared" si="34"/>
        <v>37163.797615902717</v>
      </c>
      <c r="E66" s="73">
        <f t="shared" si="35"/>
        <v>48076.173734912001</v>
      </c>
      <c r="F66" s="73">
        <f t="shared" si="36"/>
        <v>-604.83636428800014</v>
      </c>
      <c r="G66" s="73">
        <f t="shared" si="37"/>
        <v>-1923.8262650880004</v>
      </c>
      <c r="H66" s="27">
        <f t="shared" si="38"/>
        <v>348.94405632000002</v>
      </c>
      <c r="I66" s="74">
        <f t="shared" si="45"/>
        <v>4.6525874176000008E-2</v>
      </c>
      <c r="J66" s="27">
        <f t="shared" si="39"/>
        <v>26</v>
      </c>
      <c r="K66" s="27">
        <f t="shared" si="40"/>
        <v>13</v>
      </c>
      <c r="L66">
        <v>75000</v>
      </c>
      <c r="M66" s="73">
        <v>-30000</v>
      </c>
      <c r="N66">
        <f t="shared" si="41"/>
        <v>50000</v>
      </c>
      <c r="O66" s="72">
        <f t="shared" si="42"/>
        <v>150</v>
      </c>
      <c r="P66">
        <f t="shared" si="43"/>
        <v>1.36</v>
      </c>
      <c r="Q66">
        <f t="shared" si="44"/>
        <v>2000</v>
      </c>
    </row>
    <row r="67" spans="2:17">
      <c r="B67">
        <v>7</v>
      </c>
      <c r="D67" s="73">
        <f t="shared" si="34"/>
        <v>36038.764757627701</v>
      </c>
      <c r="E67" s="73">
        <f t="shared" si="35"/>
        <v>47253.59627948032</v>
      </c>
      <c r="F67" s="73">
        <f t="shared" si="36"/>
        <v>-822.57745543168016</v>
      </c>
      <c r="G67" s="73">
        <f t="shared" si="37"/>
        <v>-2746.4037205196805</v>
      </c>
      <c r="H67" s="27">
        <f t="shared" si="38"/>
        <v>474.56391659520006</v>
      </c>
      <c r="I67" s="74">
        <f t="shared" si="45"/>
        <v>6.3275188879360011E-2</v>
      </c>
      <c r="J67" s="27">
        <f t="shared" si="39"/>
        <v>26</v>
      </c>
      <c r="K67" s="27">
        <f t="shared" si="40"/>
        <v>13</v>
      </c>
      <c r="L67">
        <v>75000</v>
      </c>
      <c r="M67" s="73">
        <v>-30000</v>
      </c>
      <c r="N67">
        <f t="shared" si="41"/>
        <v>50000</v>
      </c>
      <c r="O67" s="72">
        <f t="shared" si="42"/>
        <v>150</v>
      </c>
      <c r="P67">
        <f t="shared" si="43"/>
        <v>1.36</v>
      </c>
      <c r="Q67">
        <f t="shared" si="44"/>
        <v>2000</v>
      </c>
    </row>
    <row r="68" spans="2:17">
      <c r="B68">
        <v>8</v>
      </c>
      <c r="D68" s="77">
        <f t="shared" si="34"/>
        <v>34508.720070373674</v>
      </c>
      <c r="E68" s="73">
        <f t="shared" si="35"/>
        <v>46134.890940093232</v>
      </c>
      <c r="F68" s="73">
        <f t="shared" si="36"/>
        <v>-1118.7053393870851</v>
      </c>
      <c r="G68" s="73">
        <f t="shared" si="37"/>
        <v>-3865.1090599067657</v>
      </c>
      <c r="H68" s="27">
        <f t="shared" si="38"/>
        <v>645.40692656947203</v>
      </c>
      <c r="I68" s="74">
        <f t="shared" si="45"/>
        <v>8.6054256875929616E-2</v>
      </c>
      <c r="J68" s="27">
        <f t="shared" si="39"/>
        <v>26</v>
      </c>
      <c r="K68" s="27">
        <f t="shared" si="40"/>
        <v>13</v>
      </c>
      <c r="L68">
        <v>75000</v>
      </c>
      <c r="M68" s="73">
        <v>-30000</v>
      </c>
      <c r="N68">
        <f t="shared" si="41"/>
        <v>50000</v>
      </c>
      <c r="O68" s="72">
        <f t="shared" si="42"/>
        <v>150</v>
      </c>
      <c r="P68">
        <f t="shared" si="43"/>
        <v>1.36</v>
      </c>
      <c r="Q68">
        <f t="shared" si="44"/>
        <v>2000</v>
      </c>
    </row>
    <row r="69" spans="2:17">
      <c r="B69" s="26">
        <v>9</v>
      </c>
      <c r="C69" s="26"/>
      <c r="D69" s="76">
        <f t="shared" si="34"/>
        <v>42756.258397084908</v>
      </c>
      <c r="E69" s="76">
        <f t="shared" si="35"/>
        <v>49395.117929164167</v>
      </c>
      <c r="F69" s="76">
        <f>L69*I69/70*J69</f>
        <v>3260.2269890709335</v>
      </c>
      <c r="G69" s="76">
        <f t="shared" si="37"/>
        <v>-604.88207083583211</v>
      </c>
      <c r="H69" s="27">
        <f t="shared" si="38"/>
        <v>877.7534201344821</v>
      </c>
      <c r="I69" s="74">
        <f t="shared" si="45"/>
        <v>0.11703378935126428</v>
      </c>
      <c r="J69" s="27">
        <f t="shared" si="39"/>
        <v>26</v>
      </c>
      <c r="K69" s="27">
        <f t="shared" si="40"/>
        <v>13</v>
      </c>
      <c r="L69">
        <v>75000</v>
      </c>
      <c r="M69" s="73">
        <v>-30000</v>
      </c>
      <c r="N69">
        <f t="shared" si="41"/>
        <v>50000</v>
      </c>
      <c r="O69" s="72">
        <f t="shared" si="42"/>
        <v>150</v>
      </c>
      <c r="P69">
        <f t="shared" si="43"/>
        <v>1.36</v>
      </c>
      <c r="Q69">
        <f t="shared" si="44"/>
        <v>2000</v>
      </c>
    </row>
    <row r="70" spans="2:17">
      <c r="F70" s="73" t="s">
        <v>70</v>
      </c>
      <c r="G70" s="73">
        <f>G69/9</f>
        <v>-67.209118981759119</v>
      </c>
      <c r="I70" s="74"/>
    </row>
    <row r="71" spans="2:17">
      <c r="I71" s="74"/>
    </row>
    <row r="72" spans="2:17">
      <c r="B72">
        <v>1</v>
      </c>
      <c r="C72" t="s">
        <v>71</v>
      </c>
      <c r="D72" s="73">
        <f t="shared" ref="D72:D81" si="46">(E72*0.8)+(F72*P72)-(H72*P72)</f>
        <v>39617.199999999997</v>
      </c>
      <c r="E72" s="73">
        <f t="shared" ref="E72:E81" si="47">N72+G72</f>
        <v>49870</v>
      </c>
      <c r="F72" s="73">
        <f t="shared" ref="F72:F80" si="48">M72*I72/30*K72</f>
        <v>-130</v>
      </c>
      <c r="G72" s="73">
        <f>F72</f>
        <v>-130</v>
      </c>
      <c r="H72" s="27">
        <f t="shared" ref="H72:H81" si="49">100000*O72*I72/Q72</f>
        <v>75</v>
      </c>
      <c r="I72" s="74">
        <f>F5</f>
        <v>0.01</v>
      </c>
      <c r="J72" s="27">
        <f t="shared" ref="J72:J81" si="50">$J$9</f>
        <v>26</v>
      </c>
      <c r="K72" s="27">
        <f t="shared" ref="K72:K81" si="51">$K$9</f>
        <v>13</v>
      </c>
      <c r="L72">
        <v>75000</v>
      </c>
      <c r="M72" s="73">
        <v>-30000</v>
      </c>
      <c r="N72">
        <f t="shared" ref="N72:N81" si="52">$N$9</f>
        <v>50000</v>
      </c>
      <c r="O72" s="72">
        <f t="shared" ref="O72:O81" si="53">$O$9</f>
        <v>150</v>
      </c>
      <c r="P72">
        <f t="shared" ref="P72:P81" si="54">$P$9</f>
        <v>1.36</v>
      </c>
      <c r="Q72">
        <f t="shared" ref="Q72:Q81" si="55">$Q$9</f>
        <v>2000</v>
      </c>
    </row>
    <row r="73" spans="2:17">
      <c r="B73">
        <v>2</v>
      </c>
      <c r="D73" s="73">
        <f t="shared" si="46"/>
        <v>39375.392</v>
      </c>
      <c r="E73" s="73">
        <f t="shared" si="47"/>
        <v>49693.2</v>
      </c>
      <c r="F73" s="73">
        <f t="shared" si="48"/>
        <v>-176.8</v>
      </c>
      <c r="G73" s="73">
        <f t="shared" ref="G73:G81" si="56">G72+F73</f>
        <v>-306.8</v>
      </c>
      <c r="H73" s="27">
        <f t="shared" si="49"/>
        <v>102.00000000000001</v>
      </c>
      <c r="I73" s="74">
        <f t="shared" ref="I73:I81" si="57">I72*P73</f>
        <v>1.3600000000000001E-2</v>
      </c>
      <c r="J73" s="27">
        <f t="shared" si="50"/>
        <v>26</v>
      </c>
      <c r="K73" s="27">
        <f t="shared" si="51"/>
        <v>13</v>
      </c>
      <c r="L73">
        <v>75000</v>
      </c>
      <c r="M73" s="73">
        <v>-30000</v>
      </c>
      <c r="N73">
        <f t="shared" si="52"/>
        <v>50000</v>
      </c>
      <c r="O73" s="72">
        <f t="shared" si="53"/>
        <v>150</v>
      </c>
      <c r="P73">
        <f t="shared" si="54"/>
        <v>1.36</v>
      </c>
      <c r="Q73">
        <f t="shared" si="55"/>
        <v>2000</v>
      </c>
    </row>
    <row r="74" spans="2:17">
      <c r="B74">
        <v>3</v>
      </c>
      <c r="D74" s="73">
        <f t="shared" si="46"/>
        <v>39046.53312</v>
      </c>
      <c r="E74" s="73">
        <f t="shared" si="47"/>
        <v>49452.752</v>
      </c>
      <c r="F74" s="73">
        <f t="shared" si="48"/>
        <v>-240.44800000000004</v>
      </c>
      <c r="G74" s="73">
        <f t="shared" si="56"/>
        <v>-547.24800000000005</v>
      </c>
      <c r="H74" s="27">
        <f t="shared" si="49"/>
        <v>138.72000000000003</v>
      </c>
      <c r="I74" s="74">
        <f t="shared" si="57"/>
        <v>1.8496000000000002E-2</v>
      </c>
      <c r="J74" s="27">
        <f t="shared" si="50"/>
        <v>26</v>
      </c>
      <c r="K74" s="27">
        <f t="shared" si="51"/>
        <v>13</v>
      </c>
      <c r="L74">
        <v>75000</v>
      </c>
      <c r="M74" s="73">
        <v>-30000</v>
      </c>
      <c r="N74">
        <f t="shared" si="52"/>
        <v>50000</v>
      </c>
      <c r="O74" s="72">
        <f t="shared" si="53"/>
        <v>150</v>
      </c>
      <c r="P74">
        <f t="shared" si="54"/>
        <v>1.36</v>
      </c>
      <c r="Q74">
        <f t="shared" si="55"/>
        <v>2000</v>
      </c>
    </row>
    <row r="75" spans="2:17">
      <c r="B75">
        <v>4</v>
      </c>
      <c r="D75" s="73">
        <f t="shared" si="46"/>
        <v>38599.285043200005</v>
      </c>
      <c r="E75" s="73">
        <f t="shared" si="47"/>
        <v>49125.742720000002</v>
      </c>
      <c r="F75" s="73">
        <f t="shared" si="48"/>
        <v>-327.00928000000005</v>
      </c>
      <c r="G75" s="73">
        <f t="shared" si="56"/>
        <v>-874.25728000000004</v>
      </c>
      <c r="H75" s="27">
        <f t="shared" si="49"/>
        <v>188.6592</v>
      </c>
      <c r="I75" s="74">
        <f t="shared" si="57"/>
        <v>2.5154560000000003E-2</v>
      </c>
      <c r="J75" s="27">
        <f t="shared" si="50"/>
        <v>26</v>
      </c>
      <c r="K75" s="27">
        <f t="shared" si="51"/>
        <v>13</v>
      </c>
      <c r="L75">
        <v>75000</v>
      </c>
      <c r="M75" s="73">
        <v>-30000</v>
      </c>
      <c r="N75">
        <f t="shared" si="52"/>
        <v>50000</v>
      </c>
      <c r="O75" s="72">
        <f t="shared" si="53"/>
        <v>150</v>
      </c>
      <c r="P75">
        <f t="shared" si="54"/>
        <v>1.36</v>
      </c>
      <c r="Q75">
        <f t="shared" si="55"/>
        <v>2000</v>
      </c>
    </row>
    <row r="76" spans="2:17">
      <c r="B76">
        <v>5</v>
      </c>
      <c r="D76" s="73">
        <f t="shared" si="46"/>
        <v>37991.027658752006</v>
      </c>
      <c r="E76" s="73">
        <f t="shared" si="47"/>
        <v>48681.010099200001</v>
      </c>
      <c r="F76" s="73">
        <f t="shared" si="48"/>
        <v>-444.73262080000006</v>
      </c>
      <c r="G76" s="73">
        <f t="shared" si="56"/>
        <v>-1318.9899008000002</v>
      </c>
      <c r="H76" s="27">
        <f t="shared" si="49"/>
        <v>256.57651200000004</v>
      </c>
      <c r="I76" s="74">
        <f t="shared" si="57"/>
        <v>3.4210201600000004E-2</v>
      </c>
      <c r="J76" s="27">
        <f t="shared" si="50"/>
        <v>26</v>
      </c>
      <c r="K76" s="27">
        <f t="shared" si="51"/>
        <v>13</v>
      </c>
      <c r="L76">
        <v>75000</v>
      </c>
      <c r="M76" s="73">
        <v>-30000</v>
      </c>
      <c r="N76">
        <f t="shared" si="52"/>
        <v>50000</v>
      </c>
      <c r="O76" s="72">
        <f t="shared" si="53"/>
        <v>150</v>
      </c>
      <c r="P76">
        <f t="shared" si="54"/>
        <v>1.36</v>
      </c>
      <c r="Q76">
        <f t="shared" si="55"/>
        <v>2000</v>
      </c>
    </row>
    <row r="77" spans="2:17">
      <c r="B77">
        <v>6</v>
      </c>
      <c r="D77" s="73">
        <f t="shared" si="46"/>
        <v>37163.797615902717</v>
      </c>
      <c r="E77" s="73">
        <f t="shared" si="47"/>
        <v>48076.173734912001</v>
      </c>
      <c r="F77" s="73">
        <f t="shared" si="48"/>
        <v>-604.83636428800014</v>
      </c>
      <c r="G77" s="73">
        <f t="shared" si="56"/>
        <v>-1923.8262650880004</v>
      </c>
      <c r="H77" s="27">
        <f t="shared" si="49"/>
        <v>348.94405632000002</v>
      </c>
      <c r="I77" s="74">
        <f t="shared" si="57"/>
        <v>4.6525874176000008E-2</v>
      </c>
      <c r="J77" s="27">
        <f t="shared" si="50"/>
        <v>26</v>
      </c>
      <c r="K77" s="27">
        <f t="shared" si="51"/>
        <v>13</v>
      </c>
      <c r="L77">
        <v>75000</v>
      </c>
      <c r="M77" s="73">
        <v>-30000</v>
      </c>
      <c r="N77">
        <f t="shared" si="52"/>
        <v>50000</v>
      </c>
      <c r="O77" s="72">
        <f t="shared" si="53"/>
        <v>150</v>
      </c>
      <c r="P77">
        <f t="shared" si="54"/>
        <v>1.36</v>
      </c>
      <c r="Q77">
        <f t="shared" si="55"/>
        <v>2000</v>
      </c>
    </row>
    <row r="78" spans="2:17">
      <c r="B78">
        <v>7</v>
      </c>
      <c r="D78" s="73">
        <f t="shared" si="46"/>
        <v>36038.764757627701</v>
      </c>
      <c r="E78" s="73">
        <f t="shared" si="47"/>
        <v>47253.59627948032</v>
      </c>
      <c r="F78" s="73">
        <f t="shared" si="48"/>
        <v>-822.57745543168016</v>
      </c>
      <c r="G78" s="73">
        <f t="shared" si="56"/>
        <v>-2746.4037205196805</v>
      </c>
      <c r="H78" s="27">
        <f t="shared" si="49"/>
        <v>474.56391659520006</v>
      </c>
      <c r="I78" s="74">
        <f t="shared" si="57"/>
        <v>6.3275188879360011E-2</v>
      </c>
      <c r="J78" s="27">
        <f t="shared" si="50"/>
        <v>26</v>
      </c>
      <c r="K78" s="27">
        <f t="shared" si="51"/>
        <v>13</v>
      </c>
      <c r="L78">
        <v>75000</v>
      </c>
      <c r="M78" s="73">
        <v>-30000</v>
      </c>
      <c r="N78">
        <f t="shared" si="52"/>
        <v>50000</v>
      </c>
      <c r="O78" s="72">
        <f t="shared" si="53"/>
        <v>150</v>
      </c>
      <c r="P78">
        <f t="shared" si="54"/>
        <v>1.36</v>
      </c>
      <c r="Q78">
        <f t="shared" si="55"/>
        <v>2000</v>
      </c>
    </row>
    <row r="79" spans="2:17">
      <c r="B79">
        <v>8</v>
      </c>
      <c r="D79" s="73">
        <f t="shared" si="46"/>
        <v>34508.720070373674</v>
      </c>
      <c r="E79" s="73">
        <f t="shared" si="47"/>
        <v>46134.890940093232</v>
      </c>
      <c r="F79" s="73">
        <f t="shared" si="48"/>
        <v>-1118.7053393870851</v>
      </c>
      <c r="G79" s="73">
        <f t="shared" si="56"/>
        <v>-3865.1090599067657</v>
      </c>
      <c r="H79" s="27">
        <f t="shared" si="49"/>
        <v>645.40692656947203</v>
      </c>
      <c r="I79" s="74">
        <f t="shared" si="57"/>
        <v>8.6054256875929616E-2</v>
      </c>
      <c r="J79" s="27">
        <f t="shared" si="50"/>
        <v>26</v>
      </c>
      <c r="K79" s="27">
        <f t="shared" si="51"/>
        <v>13</v>
      </c>
      <c r="L79">
        <v>75000</v>
      </c>
      <c r="M79" s="73">
        <v>-30000</v>
      </c>
      <c r="N79">
        <f t="shared" si="52"/>
        <v>50000</v>
      </c>
      <c r="O79" s="72">
        <f t="shared" si="53"/>
        <v>150</v>
      </c>
      <c r="P79">
        <f t="shared" si="54"/>
        <v>1.36</v>
      </c>
      <c r="Q79">
        <f t="shared" si="55"/>
        <v>2000</v>
      </c>
    </row>
    <row r="80" spans="2:17">
      <c r="B80">
        <v>9</v>
      </c>
      <c r="D80" s="77">
        <f t="shared" si="46"/>
        <v>32427.859295708189</v>
      </c>
      <c r="E80" s="75">
        <f t="shared" si="47"/>
        <v>44613.451678526799</v>
      </c>
      <c r="F80" s="73">
        <f t="shared" si="48"/>
        <v>-1521.4392615664356</v>
      </c>
      <c r="G80" s="73">
        <f t="shared" si="56"/>
        <v>-5386.5483214732012</v>
      </c>
      <c r="H80" s="27">
        <f t="shared" si="49"/>
        <v>877.7534201344821</v>
      </c>
      <c r="I80" s="74">
        <f t="shared" si="57"/>
        <v>0.11703378935126428</v>
      </c>
      <c r="J80" s="27">
        <f t="shared" si="50"/>
        <v>26</v>
      </c>
      <c r="K80" s="27">
        <f t="shared" si="51"/>
        <v>13</v>
      </c>
      <c r="L80">
        <v>75000</v>
      </c>
      <c r="M80" s="73">
        <v>-30000</v>
      </c>
      <c r="N80">
        <f t="shared" si="52"/>
        <v>50000</v>
      </c>
      <c r="O80" s="72">
        <f t="shared" si="53"/>
        <v>150</v>
      </c>
      <c r="P80">
        <f t="shared" si="54"/>
        <v>1.36</v>
      </c>
      <c r="Q80">
        <f t="shared" si="55"/>
        <v>2000</v>
      </c>
    </row>
    <row r="81" spans="1:17">
      <c r="B81" s="26">
        <v>10</v>
      </c>
      <c r="C81" s="26"/>
      <c r="D81" s="76">
        <f t="shared" si="46"/>
        <v>43644.51142003548</v>
      </c>
      <c r="E81" s="76">
        <f t="shared" si="47"/>
        <v>49047.360383663268</v>
      </c>
      <c r="F81" s="76">
        <f>L81*I81/70*J81</f>
        <v>4433.9087051364695</v>
      </c>
      <c r="G81" s="76">
        <f t="shared" si="56"/>
        <v>-952.63961633673171</v>
      </c>
      <c r="H81" s="27">
        <f t="shared" si="49"/>
        <v>1193.7446513828957</v>
      </c>
      <c r="I81" s="74">
        <f t="shared" si="57"/>
        <v>0.15916595351771942</v>
      </c>
      <c r="J81" s="27">
        <f t="shared" si="50"/>
        <v>26</v>
      </c>
      <c r="K81" s="27">
        <f t="shared" si="51"/>
        <v>13</v>
      </c>
      <c r="L81">
        <v>75000</v>
      </c>
      <c r="M81" s="73">
        <v>-30000</v>
      </c>
      <c r="N81">
        <f t="shared" si="52"/>
        <v>50000</v>
      </c>
      <c r="O81" s="72">
        <f t="shared" si="53"/>
        <v>150</v>
      </c>
      <c r="P81">
        <f t="shared" si="54"/>
        <v>1.36</v>
      </c>
      <c r="Q81">
        <f t="shared" si="55"/>
        <v>2000</v>
      </c>
    </row>
    <row r="82" spans="1:17">
      <c r="F82" s="73" t="s">
        <v>70</v>
      </c>
      <c r="G82" s="73">
        <f>G81/10</f>
        <v>-95.263961633673176</v>
      </c>
    </row>
    <row r="84" spans="1:17">
      <c r="A84" s="132" t="s">
        <v>193</v>
      </c>
      <c r="B84" s="220" t="s">
        <v>69</v>
      </c>
      <c r="C84" s="220"/>
    </row>
    <row r="85" spans="1:17">
      <c r="A85" s="131">
        <f>(-(G85)+H85)*1.25</f>
        <v>256.25</v>
      </c>
      <c r="B85">
        <v>1</v>
      </c>
      <c r="D85" s="73">
        <f>(E85*0.8)+(F85*P85)-(H85*P85)</f>
        <v>39617.199999999997</v>
      </c>
      <c r="E85" s="73">
        <f t="shared" ref="E85:E114" si="58">N85+G85</f>
        <v>49870</v>
      </c>
      <c r="F85" s="73">
        <f t="shared" ref="F85:F114" si="59">M85*I85/30*K85</f>
        <v>-130</v>
      </c>
      <c r="G85" s="73">
        <f>F85</f>
        <v>-130</v>
      </c>
      <c r="H85" s="27">
        <f t="shared" ref="H85:H114" si="60">100000*O85*I85/Q85</f>
        <v>75</v>
      </c>
      <c r="I85" s="74">
        <f>F5</f>
        <v>0.01</v>
      </c>
      <c r="J85" s="27">
        <f t="shared" ref="J85:J114" si="61">$J$9</f>
        <v>26</v>
      </c>
      <c r="K85" s="27">
        <f t="shared" ref="K85:K114" si="62">$K$9</f>
        <v>13</v>
      </c>
      <c r="L85">
        <v>75000</v>
      </c>
      <c r="M85" s="73">
        <v>-30000</v>
      </c>
      <c r="N85">
        <f t="shared" ref="N85:N114" si="63">$N$9</f>
        <v>50000</v>
      </c>
      <c r="O85" s="72">
        <f t="shared" ref="O85:O114" si="64">$O$9</f>
        <v>150</v>
      </c>
      <c r="P85">
        <f t="shared" ref="P85:P114" si="65">$P$9</f>
        <v>1.36</v>
      </c>
      <c r="Q85">
        <f t="shared" ref="Q85:Q114" si="66">$Q$9</f>
        <v>2000</v>
      </c>
    </row>
    <row r="86" spans="1:17">
      <c r="A86" s="131">
        <f t="shared" ref="A86:A114" si="67">(-(G86)+H86)*1.25</f>
        <v>511</v>
      </c>
      <c r="B86">
        <v>2</v>
      </c>
      <c r="D86" s="73">
        <f t="shared" ref="D86:D114" si="68">(E86*0.8)+(F86*P86)-(H86*P86)</f>
        <v>39375.392</v>
      </c>
      <c r="E86" s="73">
        <f t="shared" si="58"/>
        <v>49693.2</v>
      </c>
      <c r="F86" s="73">
        <f t="shared" si="59"/>
        <v>-176.8</v>
      </c>
      <c r="G86" s="73">
        <f t="shared" ref="G86:G114" si="69">G85+F86</f>
        <v>-306.8</v>
      </c>
      <c r="H86" s="27">
        <f t="shared" si="60"/>
        <v>102.00000000000001</v>
      </c>
      <c r="I86" s="74">
        <f t="shared" ref="I86:I114" si="70">I85*P86</f>
        <v>1.3600000000000001E-2</v>
      </c>
      <c r="J86" s="27">
        <f t="shared" si="61"/>
        <v>26</v>
      </c>
      <c r="K86" s="27">
        <f t="shared" si="62"/>
        <v>13</v>
      </c>
      <c r="L86">
        <v>75000</v>
      </c>
      <c r="M86" s="73">
        <v>-30000</v>
      </c>
      <c r="N86">
        <f t="shared" si="63"/>
        <v>50000</v>
      </c>
      <c r="O86" s="72">
        <f t="shared" si="64"/>
        <v>150</v>
      </c>
      <c r="P86">
        <f t="shared" si="65"/>
        <v>1.36</v>
      </c>
      <c r="Q86">
        <f t="shared" si="66"/>
        <v>2000</v>
      </c>
    </row>
    <row r="87" spans="1:17">
      <c r="A87" s="131">
        <f t="shared" si="67"/>
        <v>857.46</v>
      </c>
      <c r="B87">
        <v>3</v>
      </c>
      <c r="D87" s="73">
        <f t="shared" si="68"/>
        <v>39046.53312</v>
      </c>
      <c r="E87" s="73">
        <f t="shared" si="58"/>
        <v>49452.752</v>
      </c>
      <c r="F87" s="73">
        <f t="shared" si="59"/>
        <v>-240.44800000000004</v>
      </c>
      <c r="G87" s="73">
        <f t="shared" si="69"/>
        <v>-547.24800000000005</v>
      </c>
      <c r="H87" s="27">
        <f t="shared" si="60"/>
        <v>138.72000000000003</v>
      </c>
      <c r="I87" s="74">
        <f t="shared" si="70"/>
        <v>1.8496000000000002E-2</v>
      </c>
      <c r="J87" s="27">
        <f t="shared" si="61"/>
        <v>26</v>
      </c>
      <c r="K87" s="27">
        <f t="shared" si="62"/>
        <v>13</v>
      </c>
      <c r="L87">
        <v>75000</v>
      </c>
      <c r="M87" s="73">
        <v>-30000</v>
      </c>
      <c r="N87">
        <f t="shared" si="63"/>
        <v>50000</v>
      </c>
      <c r="O87" s="72">
        <f t="shared" si="64"/>
        <v>150</v>
      </c>
      <c r="P87">
        <f t="shared" si="65"/>
        <v>1.36</v>
      </c>
      <c r="Q87">
        <f t="shared" si="66"/>
        <v>2000</v>
      </c>
    </row>
    <row r="88" spans="1:17">
      <c r="A88" s="131">
        <f t="shared" si="67"/>
        <v>1328.6456000000001</v>
      </c>
      <c r="B88">
        <v>4</v>
      </c>
      <c r="D88" s="73">
        <f t="shared" si="68"/>
        <v>38599.285043200005</v>
      </c>
      <c r="E88" s="73">
        <f t="shared" si="58"/>
        <v>49125.742720000002</v>
      </c>
      <c r="F88" s="73">
        <f t="shared" si="59"/>
        <v>-327.00928000000005</v>
      </c>
      <c r="G88" s="73">
        <f t="shared" si="69"/>
        <v>-874.25728000000004</v>
      </c>
      <c r="H88" s="27">
        <f t="shared" si="60"/>
        <v>188.6592</v>
      </c>
      <c r="I88" s="74">
        <f t="shared" si="70"/>
        <v>2.5154560000000003E-2</v>
      </c>
      <c r="J88" s="27">
        <f t="shared" si="61"/>
        <v>26</v>
      </c>
      <c r="K88" s="27">
        <f t="shared" si="62"/>
        <v>13</v>
      </c>
      <c r="L88">
        <v>75000</v>
      </c>
      <c r="M88" s="73">
        <v>-30000</v>
      </c>
      <c r="N88">
        <f t="shared" si="63"/>
        <v>50000</v>
      </c>
      <c r="O88" s="72">
        <f t="shared" si="64"/>
        <v>150</v>
      </c>
      <c r="P88">
        <f t="shared" si="65"/>
        <v>1.36</v>
      </c>
      <c r="Q88">
        <f t="shared" si="66"/>
        <v>2000</v>
      </c>
    </row>
    <row r="89" spans="1:17">
      <c r="A89" s="131">
        <f t="shared" si="67"/>
        <v>1969.4580160000005</v>
      </c>
      <c r="B89">
        <v>5</v>
      </c>
      <c r="D89" s="73">
        <f t="shared" si="68"/>
        <v>37991.027658752006</v>
      </c>
      <c r="E89" s="73">
        <f t="shared" si="58"/>
        <v>48681.010099200001</v>
      </c>
      <c r="F89" s="73">
        <f t="shared" si="59"/>
        <v>-444.73262080000006</v>
      </c>
      <c r="G89" s="73">
        <f t="shared" si="69"/>
        <v>-1318.9899008000002</v>
      </c>
      <c r="H89" s="27">
        <f t="shared" si="60"/>
        <v>256.57651200000004</v>
      </c>
      <c r="I89" s="74">
        <f t="shared" si="70"/>
        <v>3.4210201600000004E-2</v>
      </c>
      <c r="J89" s="27">
        <f t="shared" si="61"/>
        <v>26</v>
      </c>
      <c r="K89" s="27">
        <f t="shared" si="62"/>
        <v>13</v>
      </c>
      <c r="L89">
        <v>75000</v>
      </c>
      <c r="M89" s="73">
        <v>-30000</v>
      </c>
      <c r="N89">
        <f t="shared" si="63"/>
        <v>50000</v>
      </c>
      <c r="O89" s="72">
        <f t="shared" si="64"/>
        <v>150</v>
      </c>
      <c r="P89">
        <f t="shared" si="65"/>
        <v>1.36</v>
      </c>
      <c r="Q89">
        <f t="shared" si="66"/>
        <v>2000</v>
      </c>
    </row>
    <row r="90" spans="1:17">
      <c r="A90" s="131">
        <f t="shared" si="67"/>
        <v>2840.96290176</v>
      </c>
      <c r="B90">
        <v>6</v>
      </c>
      <c r="D90" s="73">
        <f t="shared" si="68"/>
        <v>37163.797615902717</v>
      </c>
      <c r="E90" s="73">
        <f t="shared" si="58"/>
        <v>48076.173734912001</v>
      </c>
      <c r="F90" s="73">
        <f t="shared" si="59"/>
        <v>-604.83636428800014</v>
      </c>
      <c r="G90" s="73">
        <f t="shared" si="69"/>
        <v>-1923.8262650880004</v>
      </c>
      <c r="H90" s="27">
        <f t="shared" si="60"/>
        <v>348.94405632000002</v>
      </c>
      <c r="I90" s="74">
        <f t="shared" si="70"/>
        <v>4.6525874176000008E-2</v>
      </c>
      <c r="J90" s="27">
        <f t="shared" si="61"/>
        <v>26</v>
      </c>
      <c r="K90" s="27">
        <f t="shared" si="62"/>
        <v>13</v>
      </c>
      <c r="L90">
        <v>75000</v>
      </c>
      <c r="M90" s="73">
        <v>-30000</v>
      </c>
      <c r="N90">
        <f t="shared" si="63"/>
        <v>50000</v>
      </c>
      <c r="O90" s="72">
        <f t="shared" si="64"/>
        <v>150</v>
      </c>
      <c r="P90">
        <f t="shared" si="65"/>
        <v>1.36</v>
      </c>
      <c r="Q90">
        <f t="shared" si="66"/>
        <v>2000</v>
      </c>
    </row>
    <row r="91" spans="1:17">
      <c r="A91" s="131">
        <f t="shared" si="67"/>
        <v>4026.2095463936012</v>
      </c>
      <c r="B91">
        <v>7</v>
      </c>
      <c r="D91" s="73">
        <f t="shared" si="68"/>
        <v>36038.764757627701</v>
      </c>
      <c r="E91" s="73">
        <f t="shared" si="58"/>
        <v>47253.59627948032</v>
      </c>
      <c r="F91" s="73">
        <f t="shared" si="59"/>
        <v>-822.57745543168016</v>
      </c>
      <c r="G91" s="73">
        <f t="shared" si="69"/>
        <v>-2746.4037205196805</v>
      </c>
      <c r="H91" s="27">
        <f t="shared" si="60"/>
        <v>474.56391659520006</v>
      </c>
      <c r="I91" s="74">
        <f t="shared" si="70"/>
        <v>6.3275188879360011E-2</v>
      </c>
      <c r="J91" s="27">
        <f t="shared" si="61"/>
        <v>26</v>
      </c>
      <c r="K91" s="27">
        <f t="shared" si="62"/>
        <v>13</v>
      </c>
      <c r="L91">
        <v>75000</v>
      </c>
      <c r="M91" s="73">
        <v>-30000</v>
      </c>
      <c r="N91">
        <f t="shared" si="63"/>
        <v>50000</v>
      </c>
      <c r="O91" s="72">
        <f t="shared" si="64"/>
        <v>150</v>
      </c>
      <c r="P91">
        <f t="shared" si="65"/>
        <v>1.36</v>
      </c>
      <c r="Q91">
        <f t="shared" si="66"/>
        <v>2000</v>
      </c>
    </row>
    <row r="92" spans="1:17">
      <c r="A92" s="131">
        <f t="shared" si="67"/>
        <v>5638.144983095297</v>
      </c>
      <c r="B92">
        <v>8</v>
      </c>
      <c r="D92" s="73">
        <f t="shared" si="68"/>
        <v>34508.720070373674</v>
      </c>
      <c r="E92" s="73">
        <f t="shared" si="58"/>
        <v>46134.890940093232</v>
      </c>
      <c r="F92" s="73">
        <f t="shared" si="59"/>
        <v>-1118.7053393870851</v>
      </c>
      <c r="G92" s="73">
        <f t="shared" si="69"/>
        <v>-3865.1090599067657</v>
      </c>
      <c r="H92" s="27">
        <f t="shared" si="60"/>
        <v>645.40692656947203</v>
      </c>
      <c r="I92" s="74">
        <f t="shared" si="70"/>
        <v>8.6054256875929616E-2</v>
      </c>
      <c r="J92" s="27">
        <f t="shared" si="61"/>
        <v>26</v>
      </c>
      <c r="K92" s="27">
        <f t="shared" si="62"/>
        <v>13</v>
      </c>
      <c r="L92">
        <v>75000</v>
      </c>
      <c r="M92" s="73">
        <v>-30000</v>
      </c>
      <c r="N92">
        <f t="shared" si="63"/>
        <v>50000</v>
      </c>
      <c r="O92" s="72">
        <f t="shared" si="64"/>
        <v>150</v>
      </c>
      <c r="P92">
        <f t="shared" si="65"/>
        <v>1.36</v>
      </c>
      <c r="Q92">
        <f t="shared" si="66"/>
        <v>2000</v>
      </c>
    </row>
    <row r="93" spans="1:17">
      <c r="A93" s="131">
        <f t="shared" si="67"/>
        <v>7830.3771770096046</v>
      </c>
      <c r="B93">
        <v>9</v>
      </c>
      <c r="D93" s="73">
        <f t="shared" si="68"/>
        <v>32427.859295708189</v>
      </c>
      <c r="E93" s="75">
        <f t="shared" si="58"/>
        <v>44613.451678526799</v>
      </c>
      <c r="F93" s="73">
        <f t="shared" si="59"/>
        <v>-1521.4392615664356</v>
      </c>
      <c r="G93" s="73">
        <f t="shared" si="69"/>
        <v>-5386.5483214732012</v>
      </c>
      <c r="H93" s="27">
        <f t="shared" si="60"/>
        <v>877.7534201344821</v>
      </c>
      <c r="I93" s="74">
        <f t="shared" si="70"/>
        <v>0.11703378935126428</v>
      </c>
      <c r="J93" s="27">
        <f t="shared" si="61"/>
        <v>26</v>
      </c>
      <c r="K93" s="27">
        <f t="shared" si="62"/>
        <v>13</v>
      </c>
      <c r="L93">
        <v>75000</v>
      </c>
      <c r="M93" s="73">
        <v>-30000</v>
      </c>
      <c r="N93">
        <f t="shared" si="63"/>
        <v>50000</v>
      </c>
      <c r="O93" s="72">
        <f t="shared" si="64"/>
        <v>150</v>
      </c>
      <c r="P93">
        <f t="shared" si="65"/>
        <v>1.36</v>
      </c>
      <c r="Q93">
        <f t="shared" si="66"/>
        <v>2000</v>
      </c>
    </row>
    <row r="94" spans="1:17">
      <c r="A94" s="131">
        <f t="shared" si="67"/>
        <v>10811.812960733061</v>
      </c>
      <c r="B94">
        <v>10</v>
      </c>
      <c r="D94" s="73">
        <f t="shared" si="68"/>
        <v>29597.88864216314</v>
      </c>
      <c r="E94" s="73">
        <f t="shared" si="58"/>
        <v>42544.294282796443</v>
      </c>
      <c r="F94" s="73">
        <f t="shared" si="59"/>
        <v>-2069.1573957303526</v>
      </c>
      <c r="G94" s="73">
        <f t="shared" si="69"/>
        <v>-7455.7057172035538</v>
      </c>
      <c r="H94" s="27">
        <f t="shared" si="60"/>
        <v>1193.7446513828957</v>
      </c>
      <c r="I94" s="74">
        <f t="shared" si="70"/>
        <v>0.15916595351771942</v>
      </c>
      <c r="J94" s="27">
        <f t="shared" si="61"/>
        <v>26</v>
      </c>
      <c r="K94" s="27">
        <f t="shared" si="62"/>
        <v>13</v>
      </c>
      <c r="L94">
        <v>75000</v>
      </c>
      <c r="M94" s="73">
        <v>-30000</v>
      </c>
      <c r="N94">
        <f t="shared" si="63"/>
        <v>50000</v>
      </c>
      <c r="O94" s="72">
        <f t="shared" si="64"/>
        <v>150</v>
      </c>
      <c r="P94">
        <f t="shared" si="65"/>
        <v>1.36</v>
      </c>
      <c r="Q94">
        <f t="shared" si="66"/>
        <v>2000</v>
      </c>
    </row>
    <row r="95" spans="1:17">
      <c r="A95" s="131">
        <f t="shared" si="67"/>
        <v>14866.565626596965</v>
      </c>
      <c r="B95">
        <v>11</v>
      </c>
      <c r="D95" s="73">
        <f t="shared" si="68"/>
        <v>25749.12855334187</v>
      </c>
      <c r="E95" s="75">
        <f t="shared" si="58"/>
        <v>39730.240224603171</v>
      </c>
      <c r="F95" s="73">
        <f t="shared" si="59"/>
        <v>-2814.0540581932796</v>
      </c>
      <c r="G95" s="73">
        <f t="shared" si="69"/>
        <v>-10269.759775396833</v>
      </c>
      <c r="H95" s="27">
        <f t="shared" si="60"/>
        <v>1623.4927258807384</v>
      </c>
      <c r="I95" s="74">
        <f t="shared" si="70"/>
        <v>0.21646569678409844</v>
      </c>
      <c r="J95" s="27">
        <f t="shared" si="61"/>
        <v>26</v>
      </c>
      <c r="K95" s="27">
        <f t="shared" si="62"/>
        <v>13</v>
      </c>
      <c r="L95">
        <v>75000</v>
      </c>
      <c r="M95" s="73">
        <v>-30000</v>
      </c>
      <c r="N95">
        <f t="shared" si="63"/>
        <v>50000</v>
      </c>
      <c r="O95" s="72">
        <f t="shared" si="64"/>
        <v>150</v>
      </c>
      <c r="P95">
        <f t="shared" si="65"/>
        <v>1.36</v>
      </c>
      <c r="Q95">
        <f t="shared" si="66"/>
        <v>2000</v>
      </c>
    </row>
    <row r="96" spans="1:17">
      <c r="A96" s="131">
        <f t="shared" si="67"/>
        <v>20381.029252171873</v>
      </c>
      <c r="B96">
        <v>12</v>
      </c>
      <c r="D96" s="73">
        <f t="shared" si="68"/>
        <v>20514.81483254494</v>
      </c>
      <c r="E96" s="73">
        <f t="shared" si="58"/>
        <v>35903.126705460309</v>
      </c>
      <c r="F96" s="73">
        <f t="shared" si="59"/>
        <v>-3827.1135191428607</v>
      </c>
      <c r="G96" s="73">
        <f t="shared" si="69"/>
        <v>-14096.873294539693</v>
      </c>
      <c r="H96" s="27">
        <f t="shared" si="60"/>
        <v>2207.9501071978043</v>
      </c>
      <c r="I96" s="74">
        <f t="shared" si="70"/>
        <v>0.29439334762637392</v>
      </c>
      <c r="J96" s="27">
        <f t="shared" si="61"/>
        <v>26</v>
      </c>
      <c r="K96" s="27">
        <f t="shared" si="62"/>
        <v>13</v>
      </c>
      <c r="L96">
        <v>75000</v>
      </c>
      <c r="M96" s="73">
        <v>-30000</v>
      </c>
      <c r="N96">
        <f t="shared" si="63"/>
        <v>50000</v>
      </c>
      <c r="O96" s="72">
        <f t="shared" si="64"/>
        <v>150</v>
      </c>
      <c r="P96">
        <f t="shared" si="65"/>
        <v>1.36</v>
      </c>
      <c r="Q96">
        <f t="shared" si="66"/>
        <v>2000</v>
      </c>
    </row>
    <row r="97" spans="1:17">
      <c r="A97" s="131">
        <f t="shared" si="67"/>
        <v>27880.69978295375</v>
      </c>
      <c r="B97">
        <v>13</v>
      </c>
      <c r="D97" s="73">
        <f t="shared" si="68"/>
        <v>13396.148172261113</v>
      </c>
      <c r="E97" s="75">
        <f t="shared" si="58"/>
        <v>30698.252319426014</v>
      </c>
      <c r="F97" s="73">
        <f t="shared" si="59"/>
        <v>-5204.8743860342911</v>
      </c>
      <c r="G97" s="73">
        <f t="shared" si="69"/>
        <v>-19301.747680573986</v>
      </c>
      <c r="H97" s="27">
        <f t="shared" si="60"/>
        <v>3002.8121457890143</v>
      </c>
      <c r="I97" s="74">
        <f t="shared" si="70"/>
        <v>0.40037495277186858</v>
      </c>
      <c r="J97" s="27">
        <f t="shared" si="61"/>
        <v>26</v>
      </c>
      <c r="K97" s="27">
        <f t="shared" si="62"/>
        <v>13</v>
      </c>
      <c r="L97">
        <v>75000</v>
      </c>
      <c r="M97" s="73">
        <v>-30000</v>
      </c>
      <c r="N97">
        <f t="shared" si="63"/>
        <v>50000</v>
      </c>
      <c r="O97" s="72">
        <f t="shared" si="64"/>
        <v>150</v>
      </c>
      <c r="P97">
        <f t="shared" si="65"/>
        <v>1.36</v>
      </c>
      <c r="Q97">
        <f t="shared" si="66"/>
        <v>2000</v>
      </c>
    </row>
    <row r="98" spans="1:17">
      <c r="A98" s="131">
        <f t="shared" si="67"/>
        <v>38080.251704817099</v>
      </c>
      <c r="B98">
        <v>14</v>
      </c>
      <c r="D98" s="73">
        <f t="shared" si="68"/>
        <v>3714.7615142751183</v>
      </c>
      <c r="E98" s="73">
        <f t="shared" si="58"/>
        <v>23619.62315441938</v>
      </c>
      <c r="F98" s="73">
        <f t="shared" si="59"/>
        <v>-7078.629165006636</v>
      </c>
      <c r="G98" s="73">
        <f t="shared" si="69"/>
        <v>-26380.37684558062</v>
      </c>
      <c r="H98" s="27">
        <f t="shared" si="60"/>
        <v>4083.8245182730598</v>
      </c>
      <c r="I98" s="74">
        <f t="shared" si="70"/>
        <v>0.54450993576974127</v>
      </c>
      <c r="J98" s="27">
        <f t="shared" si="61"/>
        <v>26</v>
      </c>
      <c r="K98" s="27">
        <f t="shared" si="62"/>
        <v>13</v>
      </c>
      <c r="L98">
        <v>75000</v>
      </c>
      <c r="M98" s="73">
        <v>-30000</v>
      </c>
      <c r="N98">
        <f t="shared" si="63"/>
        <v>50000</v>
      </c>
      <c r="O98" s="72">
        <f t="shared" si="64"/>
        <v>150</v>
      </c>
      <c r="P98">
        <f t="shared" si="65"/>
        <v>1.36</v>
      </c>
      <c r="Q98">
        <f t="shared" si="66"/>
        <v>2000</v>
      </c>
    </row>
    <row r="99" spans="1:17">
      <c r="A99" s="131">
        <f t="shared" si="67"/>
        <v>51951.642318551269</v>
      </c>
      <c r="B99">
        <v>15</v>
      </c>
      <c r="D99" s="73">
        <f t="shared" si="68"/>
        <v>-9451.9243405858506</v>
      </c>
      <c r="E99" s="75">
        <f t="shared" si="58"/>
        <v>13992.68749001035</v>
      </c>
      <c r="F99" s="73">
        <f t="shared" si="59"/>
        <v>-9626.9356644090276</v>
      </c>
      <c r="G99" s="73">
        <f t="shared" si="69"/>
        <v>-36007.31250998965</v>
      </c>
      <c r="H99" s="27">
        <f t="shared" si="60"/>
        <v>5554.0013448513619</v>
      </c>
      <c r="I99" s="74">
        <f t="shared" si="70"/>
        <v>0.74053351264684819</v>
      </c>
      <c r="J99" s="27">
        <f t="shared" si="61"/>
        <v>26</v>
      </c>
      <c r="K99" s="27">
        <f t="shared" si="62"/>
        <v>13</v>
      </c>
      <c r="L99">
        <v>75000</v>
      </c>
      <c r="M99" s="73">
        <v>-30000</v>
      </c>
      <c r="N99">
        <f t="shared" si="63"/>
        <v>50000</v>
      </c>
      <c r="O99" s="72">
        <f t="shared" si="64"/>
        <v>150</v>
      </c>
      <c r="P99">
        <f t="shared" si="65"/>
        <v>1.36</v>
      </c>
      <c r="Q99">
        <f t="shared" si="66"/>
        <v>2000</v>
      </c>
    </row>
    <row r="100" spans="1:17">
      <c r="A100" s="131">
        <f t="shared" si="67"/>
        <v>70816.733553229715</v>
      </c>
      <c r="B100">
        <v>16</v>
      </c>
      <c r="D100" s="73">
        <f t="shared" si="68"/>
        <v>-27358.617103196753</v>
      </c>
      <c r="E100" s="73">
        <f t="shared" si="58"/>
        <v>900.05498641407758</v>
      </c>
      <c r="F100" s="73">
        <f t="shared" si="59"/>
        <v>-13092.632503596276</v>
      </c>
      <c r="G100" s="73">
        <f t="shared" si="69"/>
        <v>-49099.945013585922</v>
      </c>
      <c r="H100" s="27">
        <f t="shared" si="60"/>
        <v>7553.4418289978521</v>
      </c>
      <c r="I100" s="74">
        <f t="shared" si="70"/>
        <v>1.0071255771997136</v>
      </c>
      <c r="J100" s="27">
        <f t="shared" si="61"/>
        <v>26</v>
      </c>
      <c r="K100" s="27">
        <f t="shared" si="62"/>
        <v>13</v>
      </c>
      <c r="L100">
        <v>75000</v>
      </c>
      <c r="M100" s="73">
        <v>-30000</v>
      </c>
      <c r="N100">
        <f t="shared" si="63"/>
        <v>50000</v>
      </c>
      <c r="O100" s="72">
        <f t="shared" si="64"/>
        <v>150</v>
      </c>
      <c r="P100">
        <f t="shared" si="65"/>
        <v>1.36</v>
      </c>
      <c r="Q100">
        <f t="shared" si="66"/>
        <v>2000</v>
      </c>
    </row>
    <row r="101" spans="1:17">
      <c r="A101" s="131">
        <f t="shared" si="67"/>
        <v>96473.257632392415</v>
      </c>
      <c r="B101">
        <v>17</v>
      </c>
      <c r="D101" s="73">
        <f t="shared" si="68"/>
        <v>-51711.7192603476</v>
      </c>
      <c r="E101" s="75">
        <f t="shared" si="58"/>
        <v>-16905.925218476856</v>
      </c>
      <c r="F101" s="73">
        <f t="shared" si="59"/>
        <v>-17805.980204890937</v>
      </c>
      <c r="G101" s="73">
        <f t="shared" si="69"/>
        <v>-66905.925218476856</v>
      </c>
      <c r="H101" s="27">
        <f t="shared" si="60"/>
        <v>10272.680887437082</v>
      </c>
      <c r="I101" s="74">
        <f t="shared" si="70"/>
        <v>1.3696907849916107</v>
      </c>
      <c r="J101" s="27">
        <f t="shared" si="61"/>
        <v>26</v>
      </c>
      <c r="K101" s="27">
        <f t="shared" si="62"/>
        <v>13</v>
      </c>
      <c r="L101">
        <v>75000</v>
      </c>
      <c r="M101" s="73">
        <v>-30000</v>
      </c>
      <c r="N101">
        <f t="shared" si="63"/>
        <v>50000</v>
      </c>
      <c r="O101" s="72">
        <f t="shared" si="64"/>
        <v>150</v>
      </c>
      <c r="P101">
        <f t="shared" si="65"/>
        <v>1.36</v>
      </c>
      <c r="Q101">
        <f t="shared" si="66"/>
        <v>2000</v>
      </c>
    </row>
    <row r="102" spans="1:17">
      <c r="A102" s="131">
        <f t="shared" si="67"/>
        <v>131366.13038005371</v>
      </c>
      <c r="B102">
        <v>18</v>
      </c>
      <c r="D102" s="73">
        <f t="shared" si="68"/>
        <v>-84831.938194072733</v>
      </c>
      <c r="E102" s="73">
        <f t="shared" si="58"/>
        <v>-41122.058297128533</v>
      </c>
      <c r="F102" s="73">
        <f t="shared" si="59"/>
        <v>-24216.133078651677</v>
      </c>
      <c r="G102" s="73">
        <f t="shared" si="69"/>
        <v>-91122.058297128533</v>
      </c>
      <c r="H102" s="27">
        <f t="shared" si="60"/>
        <v>13970.846006914429</v>
      </c>
      <c r="I102" s="74">
        <f t="shared" si="70"/>
        <v>1.8627794675885907</v>
      </c>
      <c r="J102" s="27">
        <f t="shared" si="61"/>
        <v>26</v>
      </c>
      <c r="K102" s="27">
        <f t="shared" si="62"/>
        <v>13</v>
      </c>
      <c r="L102">
        <v>75000</v>
      </c>
      <c r="M102" s="73">
        <v>-30000</v>
      </c>
      <c r="N102">
        <f t="shared" si="63"/>
        <v>50000</v>
      </c>
      <c r="O102" s="72">
        <f t="shared" si="64"/>
        <v>150</v>
      </c>
      <c r="P102">
        <f t="shared" si="65"/>
        <v>1.36</v>
      </c>
      <c r="Q102">
        <f t="shared" si="66"/>
        <v>2000</v>
      </c>
    </row>
    <row r="103" spans="1:17">
      <c r="A103" s="131">
        <f t="shared" si="67"/>
        <v>178820.43731687302</v>
      </c>
      <c r="B103">
        <v>19</v>
      </c>
      <c r="D103" s="73">
        <f t="shared" si="68"/>
        <v>-129875.43594393894</v>
      </c>
      <c r="E103" s="75">
        <f t="shared" si="58"/>
        <v>-74055.999284094811</v>
      </c>
      <c r="F103" s="73">
        <f t="shared" si="59"/>
        <v>-32933.940986966285</v>
      </c>
      <c r="G103" s="73">
        <f t="shared" si="69"/>
        <v>-124055.99928409481</v>
      </c>
      <c r="H103" s="27">
        <f t="shared" si="60"/>
        <v>19000.350569403625</v>
      </c>
      <c r="I103" s="74">
        <f t="shared" si="70"/>
        <v>2.5333800759204834</v>
      </c>
      <c r="J103" s="27">
        <f t="shared" si="61"/>
        <v>26</v>
      </c>
      <c r="K103" s="27">
        <f t="shared" si="62"/>
        <v>13</v>
      </c>
      <c r="L103">
        <v>75000</v>
      </c>
      <c r="M103" s="73">
        <v>-30000</v>
      </c>
      <c r="N103">
        <f t="shared" si="63"/>
        <v>50000</v>
      </c>
      <c r="O103" s="72">
        <f t="shared" si="64"/>
        <v>150</v>
      </c>
      <c r="P103">
        <f t="shared" si="65"/>
        <v>1.36</v>
      </c>
      <c r="Q103">
        <f t="shared" si="66"/>
        <v>2000</v>
      </c>
    </row>
    <row r="104" spans="1:17">
      <c r="A104" s="131">
        <f t="shared" si="67"/>
        <v>243358.29475094736</v>
      </c>
      <c r="B104">
        <v>20</v>
      </c>
      <c r="D104" s="73">
        <f t="shared" si="68"/>
        <v>-191134.592883757</v>
      </c>
      <c r="E104" s="73">
        <f t="shared" si="58"/>
        <v>-118846.15902636896</v>
      </c>
      <c r="F104" s="73">
        <f t="shared" si="59"/>
        <v>-44790.159742274154</v>
      </c>
      <c r="G104" s="73">
        <f t="shared" si="69"/>
        <v>-168846.15902636896</v>
      </c>
      <c r="H104" s="27">
        <f t="shared" si="60"/>
        <v>25840.476774388935</v>
      </c>
      <c r="I104" s="74">
        <f t="shared" si="70"/>
        <v>3.4453969032518579</v>
      </c>
      <c r="J104" s="27">
        <f t="shared" si="61"/>
        <v>26</v>
      </c>
      <c r="K104" s="27">
        <f t="shared" si="62"/>
        <v>13</v>
      </c>
      <c r="L104">
        <v>75000</v>
      </c>
      <c r="M104" s="73">
        <v>-30000</v>
      </c>
      <c r="N104">
        <f t="shared" si="63"/>
        <v>50000</v>
      </c>
      <c r="O104" s="72">
        <f t="shared" si="64"/>
        <v>150</v>
      </c>
      <c r="P104">
        <f t="shared" si="65"/>
        <v>1.36</v>
      </c>
      <c r="Q104">
        <f t="shared" si="66"/>
        <v>2000</v>
      </c>
    </row>
    <row r="105" spans="1:17">
      <c r="A105" s="131">
        <f t="shared" si="67"/>
        <v>331129.78086128843</v>
      </c>
      <c r="B105">
        <v>21</v>
      </c>
      <c r="D105" s="73">
        <f t="shared" si="68"/>
        <v>-274447.04632190953</v>
      </c>
      <c r="E105" s="75">
        <f t="shared" si="58"/>
        <v>-179760.7762758618</v>
      </c>
      <c r="F105" s="73">
        <f t="shared" si="59"/>
        <v>-60914.617249492847</v>
      </c>
      <c r="G105" s="73">
        <f t="shared" si="69"/>
        <v>-229760.7762758618</v>
      </c>
      <c r="H105" s="27">
        <f t="shared" si="60"/>
        <v>35143.048413168952</v>
      </c>
      <c r="I105" s="74">
        <f t="shared" si="70"/>
        <v>4.6857397884225271</v>
      </c>
      <c r="J105" s="27">
        <f t="shared" si="61"/>
        <v>26</v>
      </c>
      <c r="K105" s="27">
        <f t="shared" si="62"/>
        <v>13</v>
      </c>
      <c r="L105">
        <v>75000</v>
      </c>
      <c r="M105" s="73">
        <v>-30000</v>
      </c>
      <c r="N105">
        <f t="shared" si="63"/>
        <v>50000</v>
      </c>
      <c r="O105" s="72">
        <f t="shared" si="64"/>
        <v>150</v>
      </c>
      <c r="P105">
        <f t="shared" si="65"/>
        <v>1.36</v>
      </c>
      <c r="Q105">
        <f t="shared" si="66"/>
        <v>2000</v>
      </c>
    </row>
    <row r="106" spans="1:17">
      <c r="A106" s="131">
        <f t="shared" si="67"/>
        <v>450499.00197135232</v>
      </c>
      <c r="B106">
        <v>22</v>
      </c>
      <c r="D106" s="73">
        <f t="shared" si="68"/>
        <v>-387751.98299779702</v>
      </c>
      <c r="E106" s="73">
        <f t="shared" si="58"/>
        <v>-262604.6557351721</v>
      </c>
      <c r="F106" s="73">
        <f t="shared" si="59"/>
        <v>-82843.879459310294</v>
      </c>
      <c r="G106" s="73">
        <f t="shared" si="69"/>
        <v>-312604.6557351721</v>
      </c>
      <c r="H106" s="27">
        <f t="shared" si="60"/>
        <v>47794.545841909778</v>
      </c>
      <c r="I106" s="74">
        <f t="shared" si="70"/>
        <v>6.3726061122546378</v>
      </c>
      <c r="J106" s="27">
        <f t="shared" si="61"/>
        <v>26</v>
      </c>
      <c r="K106" s="27">
        <f t="shared" si="62"/>
        <v>13</v>
      </c>
      <c r="L106">
        <v>75000</v>
      </c>
      <c r="M106" s="73">
        <v>-30000</v>
      </c>
      <c r="N106">
        <f t="shared" si="63"/>
        <v>50000</v>
      </c>
      <c r="O106" s="72">
        <f t="shared" si="64"/>
        <v>150</v>
      </c>
      <c r="P106">
        <f t="shared" si="65"/>
        <v>1.36</v>
      </c>
      <c r="Q106">
        <f t="shared" si="66"/>
        <v>2000</v>
      </c>
    </row>
    <row r="107" spans="1:17">
      <c r="A107" s="131">
        <f t="shared" si="67"/>
        <v>612841.14268103929</v>
      </c>
      <c r="B107">
        <v>23</v>
      </c>
      <c r="D107" s="73">
        <f t="shared" si="68"/>
        <v>-541846.696877004</v>
      </c>
      <c r="E107" s="75">
        <f t="shared" si="58"/>
        <v>-375272.33179983409</v>
      </c>
      <c r="F107" s="73">
        <f t="shared" si="59"/>
        <v>-112667.676064662</v>
      </c>
      <c r="G107" s="73">
        <f t="shared" si="69"/>
        <v>-425272.33179983409</v>
      </c>
      <c r="H107" s="27">
        <f t="shared" si="60"/>
        <v>65000.582344997318</v>
      </c>
      <c r="I107" s="74">
        <f t="shared" si="70"/>
        <v>8.6667443126663084</v>
      </c>
      <c r="J107" s="27">
        <f t="shared" si="61"/>
        <v>26</v>
      </c>
      <c r="K107" s="27">
        <f t="shared" si="62"/>
        <v>13</v>
      </c>
      <c r="L107">
        <v>75000</v>
      </c>
      <c r="M107" s="73">
        <v>-30000</v>
      </c>
      <c r="N107">
        <f t="shared" si="63"/>
        <v>50000</v>
      </c>
      <c r="O107" s="72">
        <f t="shared" si="64"/>
        <v>150</v>
      </c>
      <c r="P107">
        <f t="shared" si="65"/>
        <v>1.36</v>
      </c>
      <c r="Q107">
        <f t="shared" si="66"/>
        <v>2000</v>
      </c>
    </row>
    <row r="108" spans="1:17">
      <c r="A108" s="131">
        <f t="shared" si="67"/>
        <v>833626.45404621353</v>
      </c>
      <c r="B108">
        <v>24</v>
      </c>
      <c r="D108" s="73">
        <f t="shared" si="68"/>
        <v>-751415.50775272539</v>
      </c>
      <c r="E108" s="73">
        <f t="shared" si="58"/>
        <v>-528500.37124777446</v>
      </c>
      <c r="F108" s="73">
        <f t="shared" si="59"/>
        <v>-153228.03944794033</v>
      </c>
      <c r="G108" s="73">
        <f t="shared" si="69"/>
        <v>-578500.37124777446</v>
      </c>
      <c r="H108" s="27">
        <f t="shared" si="60"/>
        <v>88400.791989196339</v>
      </c>
      <c r="I108" s="74">
        <f t="shared" si="70"/>
        <v>11.78677226522618</v>
      </c>
      <c r="J108" s="27">
        <f t="shared" si="61"/>
        <v>26</v>
      </c>
      <c r="K108" s="27">
        <f t="shared" si="62"/>
        <v>13</v>
      </c>
      <c r="L108">
        <v>75000</v>
      </c>
      <c r="M108" s="73">
        <v>-30000</v>
      </c>
      <c r="N108">
        <f t="shared" si="63"/>
        <v>50000</v>
      </c>
      <c r="O108" s="72">
        <f t="shared" si="64"/>
        <v>150</v>
      </c>
      <c r="P108">
        <f t="shared" si="65"/>
        <v>1.36</v>
      </c>
      <c r="Q108">
        <f t="shared" si="66"/>
        <v>2000</v>
      </c>
    </row>
    <row r="109" spans="1:17">
      <c r="A109" s="131">
        <f t="shared" si="67"/>
        <v>1133894.4775028506</v>
      </c>
      <c r="B109">
        <v>25</v>
      </c>
      <c r="D109" s="73">
        <f t="shared" si="68"/>
        <v>-1036429.0905437069</v>
      </c>
      <c r="E109" s="75">
        <f t="shared" si="58"/>
        <v>-736890.50489697338</v>
      </c>
      <c r="F109" s="73">
        <f t="shared" si="59"/>
        <v>-208390.13364919889</v>
      </c>
      <c r="G109" s="73">
        <f t="shared" si="69"/>
        <v>-786890.50489697338</v>
      </c>
      <c r="H109" s="27">
        <f t="shared" si="60"/>
        <v>120225.07710530706</v>
      </c>
      <c r="I109" s="74">
        <f t="shared" si="70"/>
        <v>16.030010280707607</v>
      </c>
      <c r="J109" s="27">
        <f t="shared" si="61"/>
        <v>26</v>
      </c>
      <c r="K109" s="27">
        <f t="shared" si="62"/>
        <v>13</v>
      </c>
      <c r="L109">
        <v>75000</v>
      </c>
      <c r="M109" s="73">
        <v>-30000</v>
      </c>
      <c r="N109">
        <f t="shared" si="63"/>
        <v>50000</v>
      </c>
      <c r="O109" s="72">
        <f t="shared" si="64"/>
        <v>150</v>
      </c>
      <c r="P109">
        <f t="shared" si="65"/>
        <v>1.36</v>
      </c>
      <c r="Q109">
        <f t="shared" si="66"/>
        <v>2000</v>
      </c>
    </row>
    <row r="110" spans="1:17">
      <c r="A110" s="131">
        <f t="shared" si="67"/>
        <v>1542258.9894038767</v>
      </c>
      <c r="B110">
        <v>26</v>
      </c>
      <c r="D110" s="73">
        <f t="shared" si="68"/>
        <v>-1424047.5631394414</v>
      </c>
      <c r="E110" s="73">
        <f t="shared" si="58"/>
        <v>-1020301.0866598838</v>
      </c>
      <c r="F110" s="73">
        <f t="shared" si="59"/>
        <v>-283410.58176291047</v>
      </c>
      <c r="G110" s="73">
        <f t="shared" si="69"/>
        <v>-1070301.0866598838</v>
      </c>
      <c r="H110" s="27">
        <f t="shared" si="60"/>
        <v>163506.1048632176</v>
      </c>
      <c r="I110" s="74">
        <f t="shared" si="70"/>
        <v>21.800813981762346</v>
      </c>
      <c r="J110" s="27">
        <f t="shared" si="61"/>
        <v>26</v>
      </c>
      <c r="K110" s="27">
        <f t="shared" si="62"/>
        <v>13</v>
      </c>
      <c r="L110">
        <v>75000</v>
      </c>
      <c r="M110" s="73">
        <v>-30000</v>
      </c>
      <c r="N110">
        <f t="shared" si="63"/>
        <v>50000</v>
      </c>
      <c r="O110" s="72">
        <f t="shared" si="64"/>
        <v>150</v>
      </c>
      <c r="P110">
        <f t="shared" si="65"/>
        <v>1.36</v>
      </c>
      <c r="Q110">
        <f t="shared" si="66"/>
        <v>2000</v>
      </c>
    </row>
    <row r="111" spans="1:17">
      <c r="A111" s="131">
        <f t="shared" si="67"/>
        <v>2097634.7255892726</v>
      </c>
      <c r="B111">
        <v>27</v>
      </c>
      <c r="D111" s="73">
        <f t="shared" si="68"/>
        <v>-1951208.6858696404</v>
      </c>
      <c r="E111" s="75">
        <f t="shared" si="58"/>
        <v>-1405739.4778574421</v>
      </c>
      <c r="F111" s="73">
        <f t="shared" si="59"/>
        <v>-385438.39119755832</v>
      </c>
      <c r="G111" s="73">
        <f t="shared" si="69"/>
        <v>-1455739.4778574421</v>
      </c>
      <c r="H111" s="27">
        <f t="shared" si="60"/>
        <v>222368.30261397595</v>
      </c>
      <c r="I111" s="74">
        <f t="shared" si="70"/>
        <v>29.649107015196794</v>
      </c>
      <c r="J111" s="27">
        <f t="shared" si="61"/>
        <v>26</v>
      </c>
      <c r="K111" s="27">
        <f t="shared" si="62"/>
        <v>13</v>
      </c>
      <c r="L111">
        <v>75000</v>
      </c>
      <c r="M111" s="73">
        <v>-30000</v>
      </c>
      <c r="N111">
        <f t="shared" si="63"/>
        <v>50000</v>
      </c>
      <c r="O111" s="72">
        <f t="shared" si="64"/>
        <v>150</v>
      </c>
      <c r="P111">
        <f t="shared" si="65"/>
        <v>1.36</v>
      </c>
      <c r="Q111">
        <f t="shared" si="66"/>
        <v>2000</v>
      </c>
    </row>
    <row r="112" spans="1:17">
      <c r="A112" s="131">
        <f t="shared" si="67"/>
        <v>2852945.7268014108</v>
      </c>
      <c r="B112">
        <v>28</v>
      </c>
      <c r="D112" s="73">
        <f t="shared" si="68"/>
        <v>-2668147.8127827109</v>
      </c>
      <c r="E112" s="73">
        <f t="shared" si="58"/>
        <v>-1929935.6898861215</v>
      </c>
      <c r="F112" s="73">
        <f t="shared" si="59"/>
        <v>-524196.21202867932</v>
      </c>
      <c r="G112" s="73">
        <f t="shared" si="69"/>
        <v>-1979935.6898861215</v>
      </c>
      <c r="H112" s="27">
        <f t="shared" si="60"/>
        <v>302420.89155500731</v>
      </c>
      <c r="I112" s="74">
        <f t="shared" si="70"/>
        <v>40.322785540667645</v>
      </c>
      <c r="J112" s="27">
        <f t="shared" si="61"/>
        <v>26</v>
      </c>
      <c r="K112" s="27">
        <f t="shared" si="62"/>
        <v>13</v>
      </c>
      <c r="L112">
        <v>75000</v>
      </c>
      <c r="M112" s="73">
        <v>-30000</v>
      </c>
      <c r="N112">
        <f t="shared" si="63"/>
        <v>50000</v>
      </c>
      <c r="O112" s="72">
        <f t="shared" si="64"/>
        <v>150</v>
      </c>
      <c r="P112">
        <f t="shared" si="65"/>
        <v>1.36</v>
      </c>
      <c r="Q112">
        <f t="shared" si="66"/>
        <v>2000</v>
      </c>
    </row>
    <row r="113" spans="1:17">
      <c r="A113" s="131">
        <f t="shared" si="67"/>
        <v>3880168.6884499197</v>
      </c>
      <c r="B113">
        <v>29</v>
      </c>
      <c r="D113" s="73">
        <f t="shared" si="68"/>
        <v>-3643185.025384488</v>
      </c>
      <c r="E113" s="75">
        <f t="shared" si="58"/>
        <v>-2642842.5382451257</v>
      </c>
      <c r="F113" s="73">
        <f t="shared" si="59"/>
        <v>-712906.84835900413</v>
      </c>
      <c r="G113" s="73">
        <f t="shared" si="69"/>
        <v>-2692842.5382451257</v>
      </c>
      <c r="H113" s="27">
        <f t="shared" si="60"/>
        <v>411292.41251481004</v>
      </c>
      <c r="I113" s="74">
        <f t="shared" si="70"/>
        <v>54.838988335308002</v>
      </c>
      <c r="J113" s="27">
        <f t="shared" si="61"/>
        <v>26</v>
      </c>
      <c r="K113" s="27">
        <f t="shared" si="62"/>
        <v>13</v>
      </c>
      <c r="L113">
        <v>75000</v>
      </c>
      <c r="M113" s="73">
        <v>-30000</v>
      </c>
      <c r="N113">
        <f t="shared" si="63"/>
        <v>50000</v>
      </c>
      <c r="O113" s="72">
        <f t="shared" si="64"/>
        <v>150</v>
      </c>
      <c r="P113">
        <f t="shared" si="65"/>
        <v>1.36</v>
      </c>
      <c r="Q113">
        <f t="shared" si="66"/>
        <v>2000</v>
      </c>
    </row>
    <row r="114" spans="1:17">
      <c r="A114" s="131">
        <f t="shared" si="67"/>
        <v>5277191.9162918907</v>
      </c>
      <c r="B114">
        <v>30</v>
      </c>
      <c r="D114" s="73">
        <f t="shared" si="68"/>
        <v>-4969235.6345229037</v>
      </c>
      <c r="E114" s="73">
        <f t="shared" si="58"/>
        <v>-3612395.852013371</v>
      </c>
      <c r="F114" s="73">
        <f t="shared" si="59"/>
        <v>-969553.31376824551</v>
      </c>
      <c r="G114" s="73">
        <f t="shared" si="69"/>
        <v>-3662395.852013371</v>
      </c>
      <c r="H114" s="27">
        <f t="shared" si="60"/>
        <v>559357.68102014158</v>
      </c>
      <c r="I114" s="74">
        <f t="shared" si="70"/>
        <v>74.581024136018883</v>
      </c>
      <c r="J114" s="27">
        <f t="shared" si="61"/>
        <v>26</v>
      </c>
      <c r="K114" s="27">
        <f t="shared" si="62"/>
        <v>13</v>
      </c>
      <c r="L114">
        <v>75000</v>
      </c>
      <c r="M114" s="73">
        <v>-30000</v>
      </c>
      <c r="N114">
        <f t="shared" si="63"/>
        <v>50000</v>
      </c>
      <c r="O114" s="72">
        <f t="shared" si="64"/>
        <v>150</v>
      </c>
      <c r="P114">
        <f t="shared" si="65"/>
        <v>1.36</v>
      </c>
      <c r="Q114">
        <f t="shared" si="66"/>
        <v>2000</v>
      </c>
    </row>
  </sheetData>
  <protectedRanges>
    <protectedRange sqref="J6" name="範囲1"/>
  </protectedRanges>
  <mergeCells count="5">
    <mergeCell ref="B84:C84"/>
    <mergeCell ref="C2:D2"/>
    <mergeCell ref="C4:F4"/>
    <mergeCell ref="C3:I3"/>
    <mergeCell ref="F2:H2"/>
  </mergeCells>
  <phoneticPr fontId="1"/>
  <conditionalFormatting sqref="D1 D5:D1048576">
    <cfRule type="containsBlanks" dxfId="11" priority="5">
      <formula>LEN(TRIM(D1))=0</formula>
    </cfRule>
    <cfRule type="cellIs" dxfId="10" priority="6" operator="lessThanOrEqual">
      <formula>0</formula>
    </cfRule>
  </conditionalFormatting>
  <conditionalFormatting sqref="E9:E114">
    <cfRule type="cellIs" dxfId="9" priority="1" operator="lessThan">
      <formula>$H$5*0.2</formula>
    </cfRule>
  </conditionalFormatting>
  <conditionalFormatting sqref="G9:G114">
    <cfRule type="cellIs" dxfId="8" priority="2" operator="lessThan">
      <formula>$H$5*-0.8</formula>
    </cfRule>
  </conditionalFormatting>
  <conditionalFormatting sqref="G10 G14 G19 G25 G32 G40 G49 G59 G70 G82">
    <cfRule type="cellIs" dxfId="7" priority="4" operator="lessThanOrEqual">
      <formula>0</formula>
    </cfRule>
  </conditionalFormatting>
  <conditionalFormatting sqref="I9:I114">
    <cfRule type="cellIs" dxfId="6" priority="3" operator="greaterThan">
      <formula>60</formula>
    </cfRule>
  </conditionalFormatting>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D6FEFBA-1297-4B99-B8F3-D3700C0D8401}">
          <x14:formula1>
            <xm:f>推奨設定一覧!$A$2:$A$15</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E625-0C62-48BF-BF43-71DD0989F59C}">
  <sheetPr>
    <pageSetUpPr fitToPage="1"/>
  </sheetPr>
  <dimension ref="A2:Q111"/>
  <sheetViews>
    <sheetView workbookViewId="0">
      <pane ySplit="5" topLeftCell="A92" activePane="bottomLeft" state="frozen"/>
      <selection pane="bottomLeft" activeCell="F2" sqref="F2"/>
    </sheetView>
  </sheetViews>
  <sheetFormatPr defaultRowHeight="18"/>
  <cols>
    <col min="1" max="1" width="26.09765625" bestFit="1" customWidth="1"/>
    <col min="4" max="4" width="14" style="73" bestFit="1" customWidth="1"/>
    <col min="5" max="5" width="26.69921875" style="73" customWidth="1"/>
    <col min="6" max="6" width="15.3984375" style="73" bestFit="1" customWidth="1"/>
    <col min="7" max="7" width="19.3984375" style="73" bestFit="1" customWidth="1"/>
    <col min="8" max="8" width="14.3984375" style="27" bestFit="1" customWidth="1"/>
    <col min="9" max="9" width="19.3984375" bestFit="1" customWidth="1"/>
    <col min="10" max="10" width="8.69921875" style="27" bestFit="1" customWidth="1"/>
    <col min="11" max="11" width="12.3984375" style="27" bestFit="1" customWidth="1"/>
    <col min="12" max="12" width="10.3984375" bestFit="1" customWidth="1"/>
    <col min="13" max="13" width="10.3984375" style="73" bestFit="1" customWidth="1"/>
    <col min="14" max="14" width="8.59765625" bestFit="1" customWidth="1"/>
    <col min="15" max="15" width="8.59765625" style="72" bestFit="1" customWidth="1"/>
    <col min="16" max="16" width="5" bestFit="1" customWidth="1"/>
  </cols>
  <sheetData>
    <row r="2" spans="2:17">
      <c r="B2" s="93"/>
      <c r="E2" s="84" t="s">
        <v>268</v>
      </c>
      <c r="F2" s="190">
        <v>0.8</v>
      </c>
      <c r="G2" s="84" t="s">
        <v>262</v>
      </c>
      <c r="H2" s="92">
        <v>50000</v>
      </c>
      <c r="I2" s="83" t="s">
        <v>102</v>
      </c>
      <c r="J2" s="92">
        <v>26</v>
      </c>
      <c r="K2" s="85" t="s">
        <v>101</v>
      </c>
      <c r="L2" s="91">
        <v>13</v>
      </c>
      <c r="M2" s="84" t="s">
        <v>100</v>
      </c>
      <c r="N2" s="91">
        <v>1.36</v>
      </c>
    </row>
    <row r="3" spans="2:17" ht="18.600000000000001" thickBot="1">
      <c r="E3" s="84" t="s">
        <v>85</v>
      </c>
      <c r="F3" s="84">
        <v>75000</v>
      </c>
      <c r="G3" s="84" t="s">
        <v>99</v>
      </c>
      <c r="H3" s="84">
        <v>-30000</v>
      </c>
      <c r="I3" s="83" t="s">
        <v>98</v>
      </c>
      <c r="J3" s="90">
        <v>150</v>
      </c>
      <c r="K3" s="85" t="s">
        <v>97</v>
      </c>
      <c r="L3" s="89">
        <v>2000</v>
      </c>
      <c r="M3" s="84"/>
      <c r="N3" s="83"/>
    </row>
    <row r="4" spans="2:17" ht="19.2" thickTop="1" thickBot="1">
      <c r="E4" s="84" t="s">
        <v>96</v>
      </c>
      <c r="F4" s="88">
        <f>(G11+G16+G22+G29+G37+G46+G56+G67+G79)/9</f>
        <v>133.94103612072377</v>
      </c>
      <c r="G4" s="84" t="s">
        <v>95</v>
      </c>
      <c r="H4" s="87">
        <f>F4*8</f>
        <v>1071.5282889657901</v>
      </c>
      <c r="I4" s="83" t="s">
        <v>94</v>
      </c>
      <c r="J4" s="86">
        <f>H4*22</f>
        <v>23573.622357247383</v>
      </c>
      <c r="K4" s="85"/>
      <c r="L4" s="83"/>
      <c r="M4" s="84"/>
      <c r="N4" s="83"/>
    </row>
    <row r="5" spans="2:17" ht="19.8" customHeight="1" thickTop="1">
      <c r="B5" s="82"/>
      <c r="C5" s="82"/>
      <c r="D5" s="79" t="s">
        <v>93</v>
      </c>
      <c r="E5" s="79" t="s">
        <v>92</v>
      </c>
      <c r="F5" s="79" t="s">
        <v>91</v>
      </c>
      <c r="G5" s="79" t="s">
        <v>90</v>
      </c>
      <c r="H5" s="81" t="s">
        <v>89</v>
      </c>
      <c r="I5" s="79" t="s">
        <v>88</v>
      </c>
      <c r="J5" s="81" t="s">
        <v>87</v>
      </c>
      <c r="K5" s="81" t="s">
        <v>86</v>
      </c>
      <c r="L5" s="79" t="s">
        <v>85</v>
      </c>
      <c r="M5" s="79" t="s">
        <v>84</v>
      </c>
      <c r="N5" s="79" t="s">
        <v>83</v>
      </c>
      <c r="O5" s="80" t="s">
        <v>82</v>
      </c>
      <c r="P5" s="79" t="s">
        <v>65</v>
      </c>
      <c r="Q5" s="78" t="s">
        <v>81</v>
      </c>
    </row>
    <row r="6" spans="2:17" ht="19.8" customHeight="1">
      <c r="B6">
        <v>1</v>
      </c>
      <c r="C6" t="s">
        <v>80</v>
      </c>
      <c r="E6" s="73">
        <f>H2+F6</f>
        <v>72285.71428571429</v>
      </c>
      <c r="F6" s="73">
        <f>L6*I6/70*J6</f>
        <v>22285.714285714286</v>
      </c>
      <c r="G6" s="73">
        <f>F6</f>
        <v>22285.714285714286</v>
      </c>
      <c r="H6" s="27">
        <f>100000*O6*I6/Q6</f>
        <v>6000</v>
      </c>
      <c r="I6" s="74">
        <f>F2</f>
        <v>0.8</v>
      </c>
      <c r="J6" s="27">
        <f>J2</f>
        <v>26</v>
      </c>
      <c r="K6" s="27">
        <f>L2</f>
        <v>13</v>
      </c>
      <c r="L6">
        <v>75000</v>
      </c>
      <c r="M6" s="73">
        <v>-30000</v>
      </c>
      <c r="N6">
        <f>H2</f>
        <v>50000</v>
      </c>
      <c r="O6" s="72">
        <f>J3</f>
        <v>150</v>
      </c>
      <c r="P6">
        <f>N2</f>
        <v>1.36</v>
      </c>
      <c r="Q6">
        <f>L3</f>
        <v>2000</v>
      </c>
    </row>
    <row r="7" spans="2:17" ht="19.8" customHeight="1">
      <c r="F7" s="73" t="s">
        <v>70</v>
      </c>
      <c r="G7" s="73">
        <f>G6</f>
        <v>22285.714285714286</v>
      </c>
    </row>
    <row r="9" spans="2:17">
      <c r="B9">
        <v>1</v>
      </c>
      <c r="C9" t="s">
        <v>79</v>
      </c>
      <c r="D9" s="77">
        <f>(E9*0.8)+(F9*P9)-(H9*P9)</f>
        <v>9376</v>
      </c>
      <c r="E9" s="73">
        <f>N9+F9</f>
        <v>39600</v>
      </c>
      <c r="F9" s="73">
        <f>M9*I9/30*K9</f>
        <v>-10400</v>
      </c>
      <c r="G9" s="73">
        <f>F9</f>
        <v>-10400</v>
      </c>
      <c r="H9" s="27">
        <f>100000*O9*I9/Q9</f>
        <v>6000</v>
      </c>
      <c r="I9" s="74">
        <f>F2</f>
        <v>0.8</v>
      </c>
      <c r="J9" s="27">
        <f>$J$6</f>
        <v>26</v>
      </c>
      <c r="K9" s="27">
        <f>$K$6</f>
        <v>13</v>
      </c>
      <c r="L9">
        <v>75000</v>
      </c>
      <c r="M9" s="73">
        <v>-30000</v>
      </c>
      <c r="N9">
        <f>$N$6</f>
        <v>50000</v>
      </c>
      <c r="O9" s="72">
        <f>$O$6</f>
        <v>150</v>
      </c>
      <c r="P9">
        <f>$P$6</f>
        <v>1.36</v>
      </c>
      <c r="Q9">
        <f>$Q$6</f>
        <v>2000</v>
      </c>
    </row>
    <row r="10" spans="2:17">
      <c r="B10" s="26">
        <v>2</v>
      </c>
      <c r="C10" s="26"/>
      <c r="D10" s="76">
        <f>(E10*0.8)+(F10*P10)-(H10*P10)</f>
        <v>86048.914285714302</v>
      </c>
      <c r="E10" s="76">
        <f>N10+G10</f>
        <v>69908.571428571435</v>
      </c>
      <c r="F10" s="76">
        <f>L10*I10/70*J10</f>
        <v>30308.571428571431</v>
      </c>
      <c r="G10" s="76">
        <f>G9+F10</f>
        <v>19908.571428571431</v>
      </c>
      <c r="H10" s="27">
        <f>100000*O10*I10/Q10</f>
        <v>8160.0000000000009</v>
      </c>
      <c r="I10" s="74">
        <f>I9*P10</f>
        <v>1.0880000000000001</v>
      </c>
      <c r="J10" s="27">
        <f>$J$6</f>
        <v>26</v>
      </c>
      <c r="K10" s="27">
        <f>$K$6</f>
        <v>13</v>
      </c>
      <c r="L10">
        <v>75000</v>
      </c>
      <c r="M10" s="73">
        <v>-30000</v>
      </c>
      <c r="N10">
        <f>$N$6</f>
        <v>50000</v>
      </c>
      <c r="O10" s="72">
        <f>$O$6</f>
        <v>150</v>
      </c>
      <c r="P10">
        <f>$P$6</f>
        <v>1.36</v>
      </c>
      <c r="Q10">
        <f>$Q$6</f>
        <v>2000</v>
      </c>
    </row>
    <row r="11" spans="2:17">
      <c r="F11" s="73" t="s">
        <v>70</v>
      </c>
      <c r="G11" s="73">
        <f>G10/2</f>
        <v>9954.2857142857156</v>
      </c>
      <c r="I11" s="74"/>
    </row>
    <row r="12" spans="2:17">
      <c r="I12" s="74"/>
    </row>
    <row r="13" spans="2:17">
      <c r="B13">
        <v>1</v>
      </c>
      <c r="C13" t="s">
        <v>78</v>
      </c>
      <c r="D13" s="73">
        <f>(E13*0.8)+(F13*P13)-(H13*P13)</f>
        <v>9376</v>
      </c>
      <c r="E13" s="73">
        <f>N13+G13</f>
        <v>39600</v>
      </c>
      <c r="F13" s="73">
        <f>M13*I13/30*K13</f>
        <v>-10400</v>
      </c>
      <c r="G13" s="73">
        <f>F13</f>
        <v>-10400</v>
      </c>
      <c r="H13" s="27">
        <f>100000*O13*I13/Q13</f>
        <v>6000</v>
      </c>
      <c r="I13" s="74">
        <f>F2</f>
        <v>0.8</v>
      </c>
      <c r="J13" s="27">
        <f>$J$6</f>
        <v>26</v>
      </c>
      <c r="K13" s="27">
        <f>$K$6</f>
        <v>13</v>
      </c>
      <c r="L13">
        <v>75000</v>
      </c>
      <c r="M13" s="73">
        <v>-30000</v>
      </c>
      <c r="N13">
        <f>$N$6</f>
        <v>50000</v>
      </c>
      <c r="O13" s="72">
        <f>$O$6</f>
        <v>150</v>
      </c>
      <c r="P13">
        <f>$P$6</f>
        <v>1.36</v>
      </c>
      <c r="Q13">
        <f>$Q$6</f>
        <v>2000</v>
      </c>
    </row>
    <row r="14" spans="2:17">
      <c r="B14">
        <v>2</v>
      </c>
      <c r="D14" s="77">
        <f>(E14*0.8)+(F14*P14)-(H14*P14)</f>
        <v>-9968.6400000000103</v>
      </c>
      <c r="E14" s="73">
        <f>N14+G14</f>
        <v>25455.999999999996</v>
      </c>
      <c r="F14" s="73">
        <f>M14*I14/30*K14</f>
        <v>-14144.000000000004</v>
      </c>
      <c r="G14" s="73">
        <f>G13+F14</f>
        <v>-24544.000000000004</v>
      </c>
      <c r="H14" s="27">
        <f>100000*O14*I14/Q14</f>
        <v>8160.0000000000009</v>
      </c>
      <c r="I14" s="74">
        <f>I13*P14</f>
        <v>1.0880000000000001</v>
      </c>
      <c r="J14" s="27">
        <f>$J$6</f>
        <v>26</v>
      </c>
      <c r="K14" s="27">
        <f>$K$6</f>
        <v>13</v>
      </c>
      <c r="L14">
        <v>75000</v>
      </c>
      <c r="M14" s="73">
        <v>-30000</v>
      </c>
      <c r="N14">
        <f>$N$6</f>
        <v>50000</v>
      </c>
      <c r="O14" s="72">
        <f>$O$6</f>
        <v>150</v>
      </c>
      <c r="P14">
        <f>$P$6</f>
        <v>1.36</v>
      </c>
      <c r="Q14">
        <f>$Q$6</f>
        <v>2000</v>
      </c>
    </row>
    <row r="15" spans="2:17">
      <c r="B15" s="26">
        <v>3</v>
      </c>
      <c r="C15" s="26"/>
      <c r="D15" s="76">
        <f>(E15*0.8)+(F15*P15)-(H15*P15)</f>
        <v>94306.52342857144</v>
      </c>
      <c r="E15" s="76">
        <f>N15+G15</f>
        <v>66675.657142857148</v>
      </c>
      <c r="F15" s="76">
        <f>L15*I15/70*J15</f>
        <v>41219.657142857148</v>
      </c>
      <c r="G15" s="76">
        <f>G14+F15</f>
        <v>16675.657142857144</v>
      </c>
      <c r="H15" s="27">
        <f>100000*O15*I15/Q15</f>
        <v>11097.6</v>
      </c>
      <c r="I15" s="74">
        <f>I14*P15</f>
        <v>1.4796800000000001</v>
      </c>
      <c r="J15" s="27">
        <f>$J$6</f>
        <v>26</v>
      </c>
      <c r="K15" s="27">
        <f>$K$6</f>
        <v>13</v>
      </c>
      <c r="L15">
        <v>75000</v>
      </c>
      <c r="M15" s="73">
        <v>-30000</v>
      </c>
      <c r="N15">
        <f>$N$6</f>
        <v>50000</v>
      </c>
      <c r="O15" s="72">
        <f>$O$6</f>
        <v>150</v>
      </c>
      <c r="P15">
        <f>$P$6</f>
        <v>1.36</v>
      </c>
      <c r="Q15">
        <f>$Q$6</f>
        <v>2000</v>
      </c>
    </row>
    <row r="16" spans="2:17">
      <c r="F16" s="73" t="s">
        <v>70</v>
      </c>
      <c r="G16" s="73">
        <f>G15/3</f>
        <v>5558.5523809523811</v>
      </c>
      <c r="I16" s="74"/>
    </row>
    <row r="17" spans="2:17">
      <c r="I17" s="74"/>
    </row>
    <row r="18" spans="2:17">
      <c r="B18">
        <v>1</v>
      </c>
      <c r="C18" t="s">
        <v>77</v>
      </c>
      <c r="D18" s="73">
        <f>(E18*0.8)+(F18*P18)-(H18*P18)</f>
        <v>9376</v>
      </c>
      <c r="E18" s="73">
        <f>N18+G18</f>
        <v>39600</v>
      </c>
      <c r="F18" s="73">
        <f>M18*I18/30*K18</f>
        <v>-10400</v>
      </c>
      <c r="G18" s="73">
        <f>G17+F18</f>
        <v>-10400</v>
      </c>
      <c r="H18" s="27">
        <f>100000*O18*I18/Q18</f>
        <v>6000</v>
      </c>
      <c r="I18" s="74">
        <f>F2</f>
        <v>0.8</v>
      </c>
      <c r="J18" s="27">
        <f>$J$6</f>
        <v>26</v>
      </c>
      <c r="K18" s="27">
        <f>$K$6</f>
        <v>13</v>
      </c>
      <c r="L18">
        <v>75000</v>
      </c>
      <c r="M18" s="73">
        <v>-30000</v>
      </c>
      <c r="N18">
        <f>$N$6</f>
        <v>50000</v>
      </c>
      <c r="O18" s="72">
        <f>$O$6</f>
        <v>150</v>
      </c>
      <c r="P18">
        <f>$P$6</f>
        <v>1.36</v>
      </c>
      <c r="Q18">
        <f>$Q$6</f>
        <v>2000</v>
      </c>
    </row>
    <row r="19" spans="2:17">
      <c r="B19">
        <v>2</v>
      </c>
      <c r="D19" s="73">
        <f>(E19*0.8)+(F19*P19)-(H19*P19)</f>
        <v>-9968.6400000000103</v>
      </c>
      <c r="E19" s="73">
        <f>N19+G19</f>
        <v>25455.999999999996</v>
      </c>
      <c r="F19" s="73">
        <f>M19*I19/30*K19</f>
        <v>-14144.000000000004</v>
      </c>
      <c r="G19" s="73">
        <f>G18+F19</f>
        <v>-24544.000000000004</v>
      </c>
      <c r="H19" s="27">
        <f>100000*O19*I19/Q19</f>
        <v>8160.0000000000009</v>
      </c>
      <c r="I19" s="74">
        <f>I18*P19</f>
        <v>1.0880000000000001</v>
      </c>
      <c r="J19" s="27">
        <f>$J$6</f>
        <v>26</v>
      </c>
      <c r="K19" s="27">
        <f>$K$6</f>
        <v>13</v>
      </c>
      <c r="L19">
        <v>75000</v>
      </c>
      <c r="M19" s="73">
        <v>-30000</v>
      </c>
      <c r="N19">
        <f>$N$6</f>
        <v>50000</v>
      </c>
      <c r="O19" s="72">
        <f>$O$6</f>
        <v>150</v>
      </c>
      <c r="P19">
        <f>$P$6</f>
        <v>1.36</v>
      </c>
      <c r="Q19">
        <f>$Q$6</f>
        <v>2000</v>
      </c>
    </row>
    <row r="20" spans="2:17">
      <c r="B20">
        <v>3</v>
      </c>
      <c r="D20" s="77">
        <f>(E20*0.8)+(F20*P20)-(H20*P20)</f>
        <v>-36277.35040000001</v>
      </c>
      <c r="E20" s="73">
        <f>N20+G20</f>
        <v>6220.1599999999962</v>
      </c>
      <c r="F20" s="73">
        <f>M20*I20/30*K20</f>
        <v>-19235.84</v>
      </c>
      <c r="G20" s="73">
        <f>G19+F20</f>
        <v>-43779.840000000004</v>
      </c>
      <c r="H20" s="27">
        <f>100000*O20*I20/Q20</f>
        <v>11097.6</v>
      </c>
      <c r="I20" s="74">
        <f>I19*P20</f>
        <v>1.4796800000000001</v>
      </c>
      <c r="J20" s="27">
        <f>$J$6</f>
        <v>26</v>
      </c>
      <c r="K20" s="27">
        <f>$K$6</f>
        <v>13</v>
      </c>
      <c r="L20">
        <v>75000</v>
      </c>
      <c r="M20" s="73">
        <v>-30000</v>
      </c>
      <c r="N20">
        <f>$N$6</f>
        <v>50000</v>
      </c>
      <c r="O20" s="72">
        <f>$O$6</f>
        <v>150</v>
      </c>
      <c r="P20">
        <f>$P$6</f>
        <v>1.36</v>
      </c>
      <c r="Q20">
        <f>$Q$6</f>
        <v>2000</v>
      </c>
    </row>
    <row r="21" spans="2:17">
      <c r="B21" s="26">
        <v>4</v>
      </c>
      <c r="C21" s="26"/>
      <c r="D21" s="76">
        <f>(E21*0.8)+(F21*P21)-(H21*P21)</f>
        <v>105536.87186285717</v>
      </c>
      <c r="E21" s="76">
        <f>N21+G21</f>
        <v>62278.893714285718</v>
      </c>
      <c r="F21" s="76">
        <f>L21*I21/70*J21</f>
        <v>56058.733714285721</v>
      </c>
      <c r="G21" s="76">
        <f>G20+F21</f>
        <v>12278.893714285718</v>
      </c>
      <c r="H21" s="27">
        <f>100000*O21*I21/Q21</f>
        <v>15092.736000000003</v>
      </c>
      <c r="I21" s="74">
        <f>I20*P21</f>
        <v>2.0123648000000003</v>
      </c>
      <c r="J21" s="27">
        <f>$J$6</f>
        <v>26</v>
      </c>
      <c r="K21" s="27">
        <f>$K$6</f>
        <v>13</v>
      </c>
      <c r="L21">
        <v>75000</v>
      </c>
      <c r="M21" s="73">
        <v>-30000</v>
      </c>
      <c r="N21">
        <f>$N$6</f>
        <v>50000</v>
      </c>
      <c r="O21" s="72">
        <f>$O$6</f>
        <v>150</v>
      </c>
      <c r="P21">
        <f>$P$6</f>
        <v>1.36</v>
      </c>
      <c r="Q21">
        <f>$Q$6</f>
        <v>2000</v>
      </c>
    </row>
    <row r="22" spans="2:17">
      <c r="F22" s="73" t="s">
        <v>70</v>
      </c>
      <c r="G22" s="73">
        <f>G21/4</f>
        <v>3069.7234285714294</v>
      </c>
      <c r="I22" s="74"/>
    </row>
    <row r="23" spans="2:17">
      <c r="I23" s="74"/>
    </row>
    <row r="24" spans="2:17">
      <c r="B24">
        <v>1</v>
      </c>
      <c r="C24" t="s">
        <v>76</v>
      </c>
      <c r="D24" s="73">
        <f>(E24*0.8)+(F24*P24)-(H24*P24)</f>
        <v>9376</v>
      </c>
      <c r="E24" s="73">
        <f>N24+G24</f>
        <v>39600</v>
      </c>
      <c r="F24" s="73">
        <f>M24*I24/30*K24</f>
        <v>-10400</v>
      </c>
      <c r="G24" s="73">
        <f>G23+F24</f>
        <v>-10400</v>
      </c>
      <c r="H24" s="27">
        <f>100000*O24*I24/Q24</f>
        <v>6000</v>
      </c>
      <c r="I24" s="74">
        <f>F2</f>
        <v>0.8</v>
      </c>
      <c r="J24" s="27">
        <f>$J$6</f>
        <v>26</v>
      </c>
      <c r="K24" s="27">
        <f>$K$6</f>
        <v>13</v>
      </c>
      <c r="L24">
        <v>75000</v>
      </c>
      <c r="M24" s="73">
        <v>-30000</v>
      </c>
      <c r="N24">
        <f>$N$6</f>
        <v>50000</v>
      </c>
      <c r="O24" s="72">
        <f>$O$6</f>
        <v>150</v>
      </c>
      <c r="P24">
        <f>$P$6</f>
        <v>1.36</v>
      </c>
      <c r="Q24">
        <f>$Q$6</f>
        <v>2000</v>
      </c>
    </row>
    <row r="25" spans="2:17">
      <c r="B25">
        <v>2</v>
      </c>
      <c r="D25" s="73">
        <f>(E25*0.8)+(F25*P25)-(H25*P25)</f>
        <v>-9968.6400000000103</v>
      </c>
      <c r="E25" s="73">
        <f>N25+G25</f>
        <v>25455.999999999996</v>
      </c>
      <c r="F25" s="73">
        <f>M25*I25/30*K25</f>
        <v>-14144.000000000004</v>
      </c>
      <c r="G25" s="73">
        <f>G24+F25</f>
        <v>-24544.000000000004</v>
      </c>
      <c r="H25" s="27">
        <f>100000*O25*I25/Q25</f>
        <v>8160.0000000000009</v>
      </c>
      <c r="I25" s="74">
        <f>I24*P25</f>
        <v>1.0880000000000001</v>
      </c>
      <c r="J25" s="27">
        <f>$J$6</f>
        <v>26</v>
      </c>
      <c r="K25" s="27">
        <f>$K$6</f>
        <v>13</v>
      </c>
      <c r="L25">
        <v>75000</v>
      </c>
      <c r="M25" s="73">
        <v>-30000</v>
      </c>
      <c r="N25">
        <f>$N$6</f>
        <v>50000</v>
      </c>
      <c r="O25" s="72">
        <f>$O$6</f>
        <v>150</v>
      </c>
      <c r="P25">
        <f>$P$6</f>
        <v>1.36</v>
      </c>
      <c r="Q25">
        <f>$Q$6</f>
        <v>2000</v>
      </c>
    </row>
    <row r="26" spans="2:17">
      <c r="B26">
        <v>3</v>
      </c>
      <c r="D26" s="73">
        <f>(E26*0.8)+(F26*P26)-(H26*P26)</f>
        <v>-36277.35040000001</v>
      </c>
      <c r="E26" s="73">
        <f>N26+G26</f>
        <v>6220.1599999999962</v>
      </c>
      <c r="F26" s="73">
        <f>M26*I26/30*K26</f>
        <v>-19235.84</v>
      </c>
      <c r="G26" s="73">
        <f>G25+F26</f>
        <v>-43779.840000000004</v>
      </c>
      <c r="H26" s="27">
        <f>100000*O26*I26/Q26</f>
        <v>11097.6</v>
      </c>
      <c r="I26" s="74">
        <f>I25*P26</f>
        <v>1.4796800000000001</v>
      </c>
      <c r="J26" s="27">
        <f>$J$6</f>
        <v>26</v>
      </c>
      <c r="K26" s="27">
        <f>$K$6</f>
        <v>13</v>
      </c>
      <c r="L26">
        <v>75000</v>
      </c>
      <c r="M26" s="73">
        <v>-30000</v>
      </c>
      <c r="N26">
        <f>$N$6</f>
        <v>50000</v>
      </c>
      <c r="O26" s="72">
        <f>$O$6</f>
        <v>150</v>
      </c>
      <c r="P26">
        <f>$P$6</f>
        <v>1.36</v>
      </c>
      <c r="Q26">
        <f>$Q$6</f>
        <v>2000</v>
      </c>
    </row>
    <row r="27" spans="2:17">
      <c r="B27">
        <v>4</v>
      </c>
      <c r="D27" s="77">
        <f>(E27*0.8)+(F27*P27)-(H27*P27)</f>
        <v>-72057.19654400002</v>
      </c>
      <c r="E27" s="73">
        <f>N27+G27</f>
        <v>-19940.582400000014</v>
      </c>
      <c r="F27" s="73">
        <f>M27*I27/30*K27</f>
        <v>-26160.742400000003</v>
      </c>
      <c r="G27" s="73">
        <f>G26+F27</f>
        <v>-69940.582400000014</v>
      </c>
      <c r="H27" s="27">
        <f>100000*O27*I27/Q27</f>
        <v>15092.736000000003</v>
      </c>
      <c r="I27" s="74">
        <f>I26*P27</f>
        <v>2.0123648000000003</v>
      </c>
      <c r="J27" s="27">
        <f>$J$6</f>
        <v>26</v>
      </c>
      <c r="K27" s="27">
        <f>$K$6</f>
        <v>13</v>
      </c>
      <c r="L27">
        <v>75000</v>
      </c>
      <c r="M27" s="73">
        <v>-30000</v>
      </c>
      <c r="N27">
        <f>$N$6</f>
        <v>50000</v>
      </c>
      <c r="O27" s="72">
        <f>$O$6</f>
        <v>150</v>
      </c>
      <c r="P27">
        <f>$P$6</f>
        <v>1.36</v>
      </c>
      <c r="Q27">
        <f>$Q$6</f>
        <v>2000</v>
      </c>
    </row>
    <row r="28" spans="2:17">
      <c r="B28" s="26">
        <v>5</v>
      </c>
      <c r="C28" s="26"/>
      <c r="D28" s="76">
        <f>(E28*0.8)+(F28*P28)-(H28*P28)</f>
        <v>120810.14573348573</v>
      </c>
      <c r="E28" s="76">
        <f>N28+G28</f>
        <v>56299.295451428567</v>
      </c>
      <c r="F28" s="76">
        <f>L28*I28/70*J28</f>
        <v>76239.87785142858</v>
      </c>
      <c r="G28" s="76">
        <f>G27+F28</f>
        <v>6299.2954514285666</v>
      </c>
      <c r="H28" s="27">
        <f>100000*O28*I28/Q28</f>
        <v>20526.120960000004</v>
      </c>
      <c r="I28" s="74">
        <f>I27*P28</f>
        <v>2.7368161280000005</v>
      </c>
      <c r="J28" s="27">
        <f>$J$6</f>
        <v>26</v>
      </c>
      <c r="K28" s="27">
        <f>$K$6</f>
        <v>13</v>
      </c>
      <c r="L28">
        <v>75000</v>
      </c>
      <c r="M28" s="73">
        <v>-30000</v>
      </c>
      <c r="N28">
        <f>$N$6</f>
        <v>50000</v>
      </c>
      <c r="O28" s="72">
        <f>$O$6</f>
        <v>150</v>
      </c>
      <c r="P28">
        <f>$P$6</f>
        <v>1.36</v>
      </c>
      <c r="Q28">
        <f>$Q$6</f>
        <v>2000</v>
      </c>
    </row>
    <row r="29" spans="2:17">
      <c r="F29" s="73" t="s">
        <v>70</v>
      </c>
      <c r="G29" s="73">
        <f>G28/5</f>
        <v>1259.8590902857134</v>
      </c>
      <c r="I29" s="74"/>
    </row>
    <row r="30" spans="2:17">
      <c r="I30" s="74"/>
    </row>
    <row r="31" spans="2:17">
      <c r="B31">
        <v>1</v>
      </c>
      <c r="C31" t="s">
        <v>75</v>
      </c>
      <c r="D31" s="73">
        <f t="shared" ref="D31:D36" si="0">(E31*0.8)+(F31*P31)-(H31*P31)</f>
        <v>9376</v>
      </c>
      <c r="E31" s="73">
        <f t="shared" ref="E31:E36" si="1">N31+G31</f>
        <v>39600</v>
      </c>
      <c r="F31" s="73">
        <f>M31*I31/30*K31</f>
        <v>-10400</v>
      </c>
      <c r="G31" s="73">
        <f t="shared" ref="G31:G36" si="2">G30+F31</f>
        <v>-10400</v>
      </c>
      <c r="H31" s="27">
        <f t="shared" ref="H31:H36" si="3">100000*O31*I31/Q31</f>
        <v>6000</v>
      </c>
      <c r="I31" s="74">
        <f>F2</f>
        <v>0.8</v>
      </c>
      <c r="J31" s="27">
        <f t="shared" ref="J31:J36" si="4">$J$6</f>
        <v>26</v>
      </c>
      <c r="K31" s="27">
        <f t="shared" ref="K31:K36" si="5">$K$6</f>
        <v>13</v>
      </c>
      <c r="L31">
        <v>75000</v>
      </c>
      <c r="M31" s="73">
        <v>-30000</v>
      </c>
      <c r="N31">
        <f t="shared" ref="N31:N36" si="6">$N$6</f>
        <v>50000</v>
      </c>
      <c r="O31" s="72">
        <f t="shared" ref="O31:O36" si="7">$O$6</f>
        <v>150</v>
      </c>
      <c r="P31">
        <f t="shared" ref="P31:P36" si="8">$P$6</f>
        <v>1.36</v>
      </c>
      <c r="Q31">
        <f t="shared" ref="Q31:Q36" si="9">$Q$6</f>
        <v>2000</v>
      </c>
    </row>
    <row r="32" spans="2:17">
      <c r="B32">
        <v>2</v>
      </c>
      <c r="D32" s="73">
        <f t="shared" si="0"/>
        <v>-9968.6400000000103</v>
      </c>
      <c r="E32" s="73">
        <f t="shared" si="1"/>
        <v>25455.999999999996</v>
      </c>
      <c r="F32" s="73">
        <f>M32*I32/30*K32</f>
        <v>-14144.000000000004</v>
      </c>
      <c r="G32" s="73">
        <f t="shared" si="2"/>
        <v>-24544.000000000004</v>
      </c>
      <c r="H32" s="27">
        <f t="shared" si="3"/>
        <v>8160.0000000000009</v>
      </c>
      <c r="I32" s="74">
        <f>I31*P32</f>
        <v>1.0880000000000001</v>
      </c>
      <c r="J32" s="27">
        <f t="shared" si="4"/>
        <v>26</v>
      </c>
      <c r="K32" s="27">
        <f t="shared" si="5"/>
        <v>13</v>
      </c>
      <c r="L32">
        <v>75000</v>
      </c>
      <c r="M32" s="73">
        <v>-30000</v>
      </c>
      <c r="N32">
        <f t="shared" si="6"/>
        <v>50000</v>
      </c>
      <c r="O32" s="72">
        <f t="shared" si="7"/>
        <v>150</v>
      </c>
      <c r="P32">
        <f t="shared" si="8"/>
        <v>1.36</v>
      </c>
      <c r="Q32">
        <f t="shared" si="9"/>
        <v>2000</v>
      </c>
    </row>
    <row r="33" spans="2:17">
      <c r="B33">
        <v>3</v>
      </c>
      <c r="D33" s="73">
        <f t="shared" si="0"/>
        <v>-36277.35040000001</v>
      </c>
      <c r="E33" s="73">
        <f t="shared" si="1"/>
        <v>6220.1599999999962</v>
      </c>
      <c r="F33" s="73">
        <f>M33*I33/30*K33</f>
        <v>-19235.84</v>
      </c>
      <c r="G33" s="73">
        <f t="shared" si="2"/>
        <v>-43779.840000000004</v>
      </c>
      <c r="H33" s="27">
        <f t="shared" si="3"/>
        <v>11097.6</v>
      </c>
      <c r="I33" s="74">
        <f>I32*P33</f>
        <v>1.4796800000000001</v>
      </c>
      <c r="J33" s="27">
        <f t="shared" si="4"/>
        <v>26</v>
      </c>
      <c r="K33" s="27">
        <f t="shared" si="5"/>
        <v>13</v>
      </c>
      <c r="L33">
        <v>75000</v>
      </c>
      <c r="M33" s="73">
        <v>-30000</v>
      </c>
      <c r="N33">
        <f t="shared" si="6"/>
        <v>50000</v>
      </c>
      <c r="O33" s="72">
        <f t="shared" si="7"/>
        <v>150</v>
      </c>
      <c r="P33">
        <f t="shared" si="8"/>
        <v>1.36</v>
      </c>
      <c r="Q33">
        <f t="shared" si="9"/>
        <v>2000</v>
      </c>
    </row>
    <row r="34" spans="2:17">
      <c r="B34">
        <v>4</v>
      </c>
      <c r="D34" s="73">
        <f t="shared" si="0"/>
        <v>-72057.19654400002</v>
      </c>
      <c r="E34" s="73">
        <f t="shared" si="1"/>
        <v>-19940.582400000014</v>
      </c>
      <c r="F34" s="73">
        <f>M34*I34/30*K34</f>
        <v>-26160.742400000003</v>
      </c>
      <c r="G34" s="73">
        <f t="shared" si="2"/>
        <v>-69940.582400000014</v>
      </c>
      <c r="H34" s="27">
        <f t="shared" si="3"/>
        <v>15092.736000000003</v>
      </c>
      <c r="I34" s="74">
        <f>I33*P34</f>
        <v>2.0123648000000003</v>
      </c>
      <c r="J34" s="27">
        <f t="shared" si="4"/>
        <v>26</v>
      </c>
      <c r="K34" s="27">
        <f t="shared" si="5"/>
        <v>13</v>
      </c>
      <c r="L34">
        <v>75000</v>
      </c>
      <c r="M34" s="73">
        <v>-30000</v>
      </c>
      <c r="N34">
        <f t="shared" si="6"/>
        <v>50000</v>
      </c>
      <c r="O34" s="72">
        <f t="shared" si="7"/>
        <v>150</v>
      </c>
      <c r="P34">
        <f t="shared" si="8"/>
        <v>1.36</v>
      </c>
      <c r="Q34">
        <f t="shared" si="9"/>
        <v>2000</v>
      </c>
    </row>
    <row r="35" spans="2:17">
      <c r="B35">
        <v>5</v>
      </c>
      <c r="D35" s="77">
        <f t="shared" si="0"/>
        <v>-120717.78729984004</v>
      </c>
      <c r="E35" s="73">
        <f t="shared" si="1"/>
        <v>-55519.192064000017</v>
      </c>
      <c r="F35" s="73">
        <f>M35*I35/30*K35</f>
        <v>-35578.609664000003</v>
      </c>
      <c r="G35" s="73">
        <f t="shared" si="2"/>
        <v>-105519.19206400002</v>
      </c>
      <c r="H35" s="27">
        <f t="shared" si="3"/>
        <v>20526.120960000004</v>
      </c>
      <c r="I35" s="74">
        <f>I34*P35</f>
        <v>2.7368161280000005</v>
      </c>
      <c r="J35" s="27">
        <f t="shared" si="4"/>
        <v>26</v>
      </c>
      <c r="K35" s="27">
        <f t="shared" si="5"/>
        <v>13</v>
      </c>
      <c r="L35">
        <v>75000</v>
      </c>
      <c r="M35" s="73">
        <v>-30000</v>
      </c>
      <c r="N35">
        <f t="shared" si="6"/>
        <v>50000</v>
      </c>
      <c r="O35" s="72">
        <f t="shared" si="7"/>
        <v>150</v>
      </c>
      <c r="P35">
        <f t="shared" si="8"/>
        <v>1.36</v>
      </c>
      <c r="Q35">
        <f t="shared" si="9"/>
        <v>2000</v>
      </c>
    </row>
    <row r="36" spans="2:17">
      <c r="B36" s="26">
        <v>6</v>
      </c>
      <c r="C36" s="26"/>
      <c r="D36" s="76">
        <f t="shared" si="0"/>
        <v>141581.79819754063</v>
      </c>
      <c r="E36" s="76">
        <f t="shared" si="1"/>
        <v>48167.041813942866</v>
      </c>
      <c r="F36" s="76">
        <f>L36*I36/70*J36</f>
        <v>103686.23387794288</v>
      </c>
      <c r="G36" s="76">
        <f t="shared" si="2"/>
        <v>-1832.9581860571343</v>
      </c>
      <c r="H36" s="27">
        <f t="shared" si="3"/>
        <v>27915.524505600006</v>
      </c>
      <c r="I36" s="74">
        <f>I35*P36</f>
        <v>3.7220699340800008</v>
      </c>
      <c r="J36" s="27">
        <f t="shared" si="4"/>
        <v>26</v>
      </c>
      <c r="K36" s="27">
        <f t="shared" si="5"/>
        <v>13</v>
      </c>
      <c r="L36">
        <v>75000</v>
      </c>
      <c r="M36" s="73">
        <v>-30000</v>
      </c>
      <c r="N36">
        <f t="shared" si="6"/>
        <v>50000</v>
      </c>
      <c r="O36" s="72">
        <f t="shared" si="7"/>
        <v>150</v>
      </c>
      <c r="P36">
        <f t="shared" si="8"/>
        <v>1.36</v>
      </c>
      <c r="Q36">
        <f t="shared" si="9"/>
        <v>2000</v>
      </c>
    </row>
    <row r="37" spans="2:17">
      <c r="F37" s="73" t="s">
        <v>70</v>
      </c>
      <c r="G37" s="73">
        <f>G36/6</f>
        <v>-305.49303100952238</v>
      </c>
      <c r="I37" s="74"/>
    </row>
    <row r="38" spans="2:17">
      <c r="I38" s="74"/>
    </row>
    <row r="39" spans="2:17">
      <c r="B39">
        <v>1</v>
      </c>
      <c r="C39" t="s">
        <v>74</v>
      </c>
      <c r="D39" s="73">
        <f t="shared" ref="D39:D45" si="10">(E39*0.8)+(F39*P39)-(H39*P39)</f>
        <v>9376</v>
      </c>
      <c r="E39" s="73">
        <f t="shared" ref="E39:E45" si="11">N39+G39</f>
        <v>39600</v>
      </c>
      <c r="F39" s="73">
        <f t="shared" ref="F39:F44" si="12">M39*I39/30*K39</f>
        <v>-10400</v>
      </c>
      <c r="G39" s="73">
        <f t="shared" ref="G39:G45" si="13">G38+F39</f>
        <v>-10400</v>
      </c>
      <c r="H39" s="27">
        <f t="shared" ref="H39:H45" si="14">100000*O39*I39/Q39</f>
        <v>6000</v>
      </c>
      <c r="I39" s="74">
        <f>F2</f>
        <v>0.8</v>
      </c>
      <c r="J39" s="27">
        <f t="shared" ref="J39:J45" si="15">$J$6</f>
        <v>26</v>
      </c>
      <c r="K39" s="27">
        <f t="shared" ref="K39:K45" si="16">$K$6</f>
        <v>13</v>
      </c>
      <c r="L39">
        <v>75000</v>
      </c>
      <c r="M39" s="73">
        <v>-30000</v>
      </c>
      <c r="N39">
        <f t="shared" ref="N39:N45" si="17">$N$6</f>
        <v>50000</v>
      </c>
      <c r="O39" s="72">
        <f t="shared" ref="O39:O45" si="18">$O$6</f>
        <v>150</v>
      </c>
      <c r="P39">
        <f t="shared" ref="P39:P45" si="19">$P$6</f>
        <v>1.36</v>
      </c>
      <c r="Q39">
        <f t="shared" ref="Q39:Q45" si="20">$Q$6</f>
        <v>2000</v>
      </c>
    </row>
    <row r="40" spans="2:17">
      <c r="B40">
        <v>2</v>
      </c>
      <c r="D40" s="73">
        <f t="shared" si="10"/>
        <v>-9968.6400000000103</v>
      </c>
      <c r="E40" s="73">
        <f t="shared" si="11"/>
        <v>25455.999999999996</v>
      </c>
      <c r="F40" s="73">
        <f t="shared" si="12"/>
        <v>-14144.000000000004</v>
      </c>
      <c r="G40" s="73">
        <f t="shared" si="13"/>
        <v>-24544.000000000004</v>
      </c>
      <c r="H40" s="27">
        <f t="shared" si="14"/>
        <v>8160.0000000000009</v>
      </c>
      <c r="I40" s="74">
        <f t="shared" ref="I40:I45" si="21">I39*P40</f>
        <v>1.0880000000000001</v>
      </c>
      <c r="J40" s="27">
        <f t="shared" si="15"/>
        <v>26</v>
      </c>
      <c r="K40" s="27">
        <f t="shared" si="16"/>
        <v>13</v>
      </c>
      <c r="L40">
        <v>75000</v>
      </c>
      <c r="M40" s="73">
        <v>-30000</v>
      </c>
      <c r="N40">
        <f t="shared" si="17"/>
        <v>50000</v>
      </c>
      <c r="O40" s="72">
        <f t="shared" si="18"/>
        <v>150</v>
      </c>
      <c r="P40">
        <f t="shared" si="19"/>
        <v>1.36</v>
      </c>
      <c r="Q40">
        <f t="shared" si="20"/>
        <v>2000</v>
      </c>
    </row>
    <row r="41" spans="2:17">
      <c r="B41">
        <v>3</v>
      </c>
      <c r="D41" s="73">
        <f t="shared" si="10"/>
        <v>-36277.35040000001</v>
      </c>
      <c r="E41" s="73">
        <f t="shared" si="11"/>
        <v>6220.1599999999962</v>
      </c>
      <c r="F41" s="73">
        <f t="shared" si="12"/>
        <v>-19235.84</v>
      </c>
      <c r="G41" s="73">
        <f t="shared" si="13"/>
        <v>-43779.840000000004</v>
      </c>
      <c r="H41" s="27">
        <f t="shared" si="14"/>
        <v>11097.6</v>
      </c>
      <c r="I41" s="74">
        <f t="shared" si="21"/>
        <v>1.4796800000000001</v>
      </c>
      <c r="J41" s="27">
        <f t="shared" si="15"/>
        <v>26</v>
      </c>
      <c r="K41" s="27">
        <f t="shared" si="16"/>
        <v>13</v>
      </c>
      <c r="L41">
        <v>75000</v>
      </c>
      <c r="M41" s="73">
        <v>-30000</v>
      </c>
      <c r="N41">
        <f t="shared" si="17"/>
        <v>50000</v>
      </c>
      <c r="O41" s="72">
        <f t="shared" si="18"/>
        <v>150</v>
      </c>
      <c r="P41">
        <f t="shared" si="19"/>
        <v>1.36</v>
      </c>
      <c r="Q41">
        <f t="shared" si="20"/>
        <v>2000</v>
      </c>
    </row>
    <row r="42" spans="2:17">
      <c r="B42">
        <v>4</v>
      </c>
      <c r="D42" s="73">
        <f t="shared" si="10"/>
        <v>-72057.19654400002</v>
      </c>
      <c r="E42" s="73">
        <f t="shared" si="11"/>
        <v>-19940.582400000014</v>
      </c>
      <c r="F42" s="73">
        <f t="shared" si="12"/>
        <v>-26160.742400000003</v>
      </c>
      <c r="G42" s="73">
        <f t="shared" si="13"/>
        <v>-69940.582400000014</v>
      </c>
      <c r="H42" s="27">
        <f t="shared" si="14"/>
        <v>15092.736000000003</v>
      </c>
      <c r="I42" s="74">
        <f t="shared" si="21"/>
        <v>2.0123648000000003</v>
      </c>
      <c r="J42" s="27">
        <f t="shared" si="15"/>
        <v>26</v>
      </c>
      <c r="K42" s="27">
        <f t="shared" si="16"/>
        <v>13</v>
      </c>
      <c r="L42">
        <v>75000</v>
      </c>
      <c r="M42" s="73">
        <v>-30000</v>
      </c>
      <c r="N42">
        <f t="shared" si="17"/>
        <v>50000</v>
      </c>
      <c r="O42" s="72">
        <f t="shared" si="18"/>
        <v>150</v>
      </c>
      <c r="P42">
        <f t="shared" si="19"/>
        <v>1.36</v>
      </c>
      <c r="Q42">
        <f t="shared" si="20"/>
        <v>2000</v>
      </c>
    </row>
    <row r="43" spans="2:17">
      <c r="B43">
        <v>5</v>
      </c>
      <c r="D43" s="73">
        <f t="shared" si="10"/>
        <v>-120717.78729984004</v>
      </c>
      <c r="E43" s="73">
        <f t="shared" si="11"/>
        <v>-55519.192064000017</v>
      </c>
      <c r="F43" s="73">
        <f t="shared" si="12"/>
        <v>-35578.609664000003</v>
      </c>
      <c r="G43" s="73">
        <f t="shared" si="13"/>
        <v>-105519.19206400002</v>
      </c>
      <c r="H43" s="27">
        <f t="shared" si="14"/>
        <v>20526.120960000004</v>
      </c>
      <c r="I43" s="74">
        <f t="shared" si="21"/>
        <v>2.7368161280000005</v>
      </c>
      <c r="J43" s="27">
        <f t="shared" si="15"/>
        <v>26</v>
      </c>
      <c r="K43" s="27">
        <f t="shared" si="16"/>
        <v>13</v>
      </c>
      <c r="L43">
        <v>75000</v>
      </c>
      <c r="M43" s="73">
        <v>-30000</v>
      </c>
      <c r="N43">
        <f t="shared" si="17"/>
        <v>50000</v>
      </c>
      <c r="O43" s="72">
        <f t="shared" si="18"/>
        <v>150</v>
      </c>
      <c r="P43">
        <f t="shared" si="19"/>
        <v>1.36</v>
      </c>
      <c r="Q43">
        <f t="shared" si="20"/>
        <v>2000</v>
      </c>
    </row>
    <row r="44" spans="2:17">
      <c r="B44">
        <v>6</v>
      </c>
      <c r="D44" s="77">
        <f t="shared" si="10"/>
        <v>-186896.19072778244</v>
      </c>
      <c r="E44" s="73">
        <f t="shared" si="11"/>
        <v>-103906.10120704002</v>
      </c>
      <c r="F44" s="73">
        <f t="shared" si="12"/>
        <v>-48386.909143040008</v>
      </c>
      <c r="G44" s="73">
        <f t="shared" si="13"/>
        <v>-153906.10120704002</v>
      </c>
      <c r="H44" s="27">
        <f t="shared" si="14"/>
        <v>27915.524505600006</v>
      </c>
      <c r="I44" s="74">
        <f t="shared" si="21"/>
        <v>3.7220699340800008</v>
      </c>
      <c r="J44" s="27">
        <f t="shared" si="15"/>
        <v>26</v>
      </c>
      <c r="K44" s="27">
        <f t="shared" si="16"/>
        <v>13</v>
      </c>
      <c r="L44">
        <v>75000</v>
      </c>
      <c r="M44" s="73">
        <v>-30000</v>
      </c>
      <c r="N44">
        <f t="shared" si="17"/>
        <v>50000</v>
      </c>
      <c r="O44" s="72">
        <f t="shared" si="18"/>
        <v>150</v>
      </c>
      <c r="P44">
        <f t="shared" si="19"/>
        <v>1.36</v>
      </c>
      <c r="Q44">
        <f t="shared" si="20"/>
        <v>2000</v>
      </c>
    </row>
    <row r="45" spans="2:17">
      <c r="B45" s="26">
        <v>7</v>
      </c>
      <c r="C45" s="26"/>
      <c r="D45" s="76">
        <f t="shared" si="10"/>
        <v>169831.24554865528</v>
      </c>
      <c r="E45" s="76">
        <f t="shared" si="11"/>
        <v>37107.176866962312</v>
      </c>
      <c r="F45" s="76">
        <f>L45*I45/70*J45</f>
        <v>141013.27807400233</v>
      </c>
      <c r="G45" s="76">
        <f t="shared" si="13"/>
        <v>-12892.823133037688</v>
      </c>
      <c r="H45" s="27">
        <f t="shared" si="14"/>
        <v>37965.113327616011</v>
      </c>
      <c r="I45" s="74">
        <f t="shared" si="21"/>
        <v>5.0620151103488018</v>
      </c>
      <c r="J45" s="27">
        <f t="shared" si="15"/>
        <v>26</v>
      </c>
      <c r="K45" s="27">
        <f t="shared" si="16"/>
        <v>13</v>
      </c>
      <c r="L45">
        <v>75000</v>
      </c>
      <c r="M45" s="73">
        <v>-30000</v>
      </c>
      <c r="N45">
        <f t="shared" si="17"/>
        <v>50000</v>
      </c>
      <c r="O45" s="72">
        <f t="shared" si="18"/>
        <v>150</v>
      </c>
      <c r="P45">
        <f t="shared" si="19"/>
        <v>1.36</v>
      </c>
      <c r="Q45">
        <f t="shared" si="20"/>
        <v>2000</v>
      </c>
    </row>
    <row r="46" spans="2:17">
      <c r="F46" s="73" t="s">
        <v>70</v>
      </c>
      <c r="G46" s="73">
        <f>G45/7</f>
        <v>-1841.831876148241</v>
      </c>
      <c r="I46" s="74"/>
    </row>
    <row r="47" spans="2:17">
      <c r="I47" s="74"/>
    </row>
    <row r="48" spans="2:17">
      <c r="B48">
        <v>1</v>
      </c>
      <c r="C48" t="s">
        <v>73</v>
      </c>
      <c r="D48" s="73">
        <f t="shared" ref="D48:D55" si="22">(E48*0.8)+(F48*P48)-(H48*P48)</f>
        <v>9376</v>
      </c>
      <c r="E48" s="73">
        <f t="shared" ref="E48:E55" si="23">N48+G48</f>
        <v>39600</v>
      </c>
      <c r="F48" s="73">
        <f t="shared" ref="F48:F54" si="24">M48*I48/30*K48</f>
        <v>-10400</v>
      </c>
      <c r="G48" s="73">
        <f t="shared" ref="G48:G55" si="25">G47+F48</f>
        <v>-10400</v>
      </c>
      <c r="H48" s="27">
        <f t="shared" ref="H48:H55" si="26">100000*O48*I48/Q48</f>
        <v>6000</v>
      </c>
      <c r="I48" s="74">
        <f>F2</f>
        <v>0.8</v>
      </c>
      <c r="J48" s="27">
        <f t="shared" ref="J48:J55" si="27">$J$6</f>
        <v>26</v>
      </c>
      <c r="K48" s="27">
        <f t="shared" ref="K48:K55" si="28">$K$6</f>
        <v>13</v>
      </c>
      <c r="L48">
        <v>75000</v>
      </c>
      <c r="M48" s="73">
        <v>-30000</v>
      </c>
      <c r="N48">
        <f t="shared" ref="N48:N55" si="29">$N$6</f>
        <v>50000</v>
      </c>
      <c r="O48" s="72">
        <f t="shared" ref="O48:O55" si="30">$O$6</f>
        <v>150</v>
      </c>
      <c r="P48">
        <f t="shared" ref="P48:P55" si="31">$P$6</f>
        <v>1.36</v>
      </c>
      <c r="Q48">
        <f t="shared" ref="Q48:Q55" si="32">$Q$6</f>
        <v>2000</v>
      </c>
    </row>
    <row r="49" spans="2:17">
      <c r="B49">
        <v>2</v>
      </c>
      <c r="D49" s="73">
        <f t="shared" si="22"/>
        <v>-9968.6400000000103</v>
      </c>
      <c r="E49" s="73">
        <f t="shared" si="23"/>
        <v>25455.999999999996</v>
      </c>
      <c r="F49" s="73">
        <f t="shared" si="24"/>
        <v>-14144.000000000004</v>
      </c>
      <c r="G49" s="73">
        <f t="shared" si="25"/>
        <v>-24544.000000000004</v>
      </c>
      <c r="H49" s="27">
        <f t="shared" si="26"/>
        <v>8160.0000000000009</v>
      </c>
      <c r="I49" s="74">
        <f t="shared" ref="I49:I55" si="33">I48*P49</f>
        <v>1.0880000000000001</v>
      </c>
      <c r="J49" s="27">
        <f t="shared" si="27"/>
        <v>26</v>
      </c>
      <c r="K49" s="27">
        <f t="shared" si="28"/>
        <v>13</v>
      </c>
      <c r="L49">
        <v>75000</v>
      </c>
      <c r="M49" s="73">
        <v>-30000</v>
      </c>
      <c r="N49">
        <f t="shared" si="29"/>
        <v>50000</v>
      </c>
      <c r="O49" s="72">
        <f t="shared" si="30"/>
        <v>150</v>
      </c>
      <c r="P49">
        <f t="shared" si="31"/>
        <v>1.36</v>
      </c>
      <c r="Q49">
        <f t="shared" si="32"/>
        <v>2000</v>
      </c>
    </row>
    <row r="50" spans="2:17">
      <c r="B50">
        <v>3</v>
      </c>
      <c r="D50" s="73">
        <f t="shared" si="22"/>
        <v>-36277.35040000001</v>
      </c>
      <c r="E50" s="73">
        <f t="shared" si="23"/>
        <v>6220.1599999999962</v>
      </c>
      <c r="F50" s="73">
        <f t="shared" si="24"/>
        <v>-19235.84</v>
      </c>
      <c r="G50" s="73">
        <f t="shared" si="25"/>
        <v>-43779.840000000004</v>
      </c>
      <c r="H50" s="27">
        <f t="shared" si="26"/>
        <v>11097.6</v>
      </c>
      <c r="I50" s="74">
        <f t="shared" si="33"/>
        <v>1.4796800000000001</v>
      </c>
      <c r="J50" s="27">
        <f t="shared" si="27"/>
        <v>26</v>
      </c>
      <c r="K50" s="27">
        <f t="shared" si="28"/>
        <v>13</v>
      </c>
      <c r="L50">
        <v>75000</v>
      </c>
      <c r="M50" s="73">
        <v>-30000</v>
      </c>
      <c r="N50">
        <f t="shared" si="29"/>
        <v>50000</v>
      </c>
      <c r="O50" s="72">
        <f t="shared" si="30"/>
        <v>150</v>
      </c>
      <c r="P50">
        <f t="shared" si="31"/>
        <v>1.36</v>
      </c>
      <c r="Q50">
        <f t="shared" si="32"/>
        <v>2000</v>
      </c>
    </row>
    <row r="51" spans="2:17">
      <c r="B51">
        <v>4</v>
      </c>
      <c r="D51" s="73">
        <f t="shared" si="22"/>
        <v>-72057.19654400002</v>
      </c>
      <c r="E51" s="73">
        <f t="shared" si="23"/>
        <v>-19940.582400000014</v>
      </c>
      <c r="F51" s="73">
        <f t="shared" si="24"/>
        <v>-26160.742400000003</v>
      </c>
      <c r="G51" s="73">
        <f t="shared" si="25"/>
        <v>-69940.582400000014</v>
      </c>
      <c r="H51" s="27">
        <f t="shared" si="26"/>
        <v>15092.736000000003</v>
      </c>
      <c r="I51" s="74">
        <f t="shared" si="33"/>
        <v>2.0123648000000003</v>
      </c>
      <c r="J51" s="27">
        <f t="shared" si="27"/>
        <v>26</v>
      </c>
      <c r="K51" s="27">
        <f t="shared" si="28"/>
        <v>13</v>
      </c>
      <c r="L51">
        <v>75000</v>
      </c>
      <c r="M51" s="73">
        <v>-30000</v>
      </c>
      <c r="N51">
        <f t="shared" si="29"/>
        <v>50000</v>
      </c>
      <c r="O51" s="72">
        <f t="shared" si="30"/>
        <v>150</v>
      </c>
      <c r="P51">
        <f t="shared" si="31"/>
        <v>1.36</v>
      </c>
      <c r="Q51">
        <f t="shared" si="32"/>
        <v>2000</v>
      </c>
    </row>
    <row r="52" spans="2:17">
      <c r="B52">
        <v>5</v>
      </c>
      <c r="D52" s="73">
        <f t="shared" si="22"/>
        <v>-120717.78729984004</v>
      </c>
      <c r="E52" s="73">
        <f t="shared" si="23"/>
        <v>-55519.192064000017</v>
      </c>
      <c r="F52" s="73">
        <f t="shared" si="24"/>
        <v>-35578.609664000003</v>
      </c>
      <c r="G52" s="73">
        <f t="shared" si="25"/>
        <v>-105519.19206400002</v>
      </c>
      <c r="H52" s="27">
        <f t="shared" si="26"/>
        <v>20526.120960000004</v>
      </c>
      <c r="I52" s="74">
        <f t="shared" si="33"/>
        <v>2.7368161280000005</v>
      </c>
      <c r="J52" s="27">
        <f t="shared" si="27"/>
        <v>26</v>
      </c>
      <c r="K52" s="27">
        <f t="shared" si="28"/>
        <v>13</v>
      </c>
      <c r="L52">
        <v>75000</v>
      </c>
      <c r="M52" s="73">
        <v>-30000</v>
      </c>
      <c r="N52">
        <f t="shared" si="29"/>
        <v>50000</v>
      </c>
      <c r="O52" s="72">
        <f t="shared" si="30"/>
        <v>150</v>
      </c>
      <c r="P52">
        <f t="shared" si="31"/>
        <v>1.36</v>
      </c>
      <c r="Q52">
        <f t="shared" si="32"/>
        <v>2000</v>
      </c>
    </row>
    <row r="53" spans="2:17">
      <c r="B53">
        <v>6</v>
      </c>
      <c r="D53" s="73">
        <f t="shared" si="22"/>
        <v>-186896.19072778244</v>
      </c>
      <c r="E53" s="73">
        <f t="shared" si="23"/>
        <v>-103906.10120704002</v>
      </c>
      <c r="F53" s="73">
        <f t="shared" si="24"/>
        <v>-48386.909143040008</v>
      </c>
      <c r="G53" s="73">
        <f t="shared" si="25"/>
        <v>-153906.10120704002</v>
      </c>
      <c r="H53" s="27">
        <f t="shared" si="26"/>
        <v>27915.524505600006</v>
      </c>
      <c r="I53" s="74">
        <f t="shared" si="33"/>
        <v>3.7220699340800008</v>
      </c>
      <c r="J53" s="27">
        <f t="shared" si="27"/>
        <v>26</v>
      </c>
      <c r="K53" s="27">
        <f t="shared" si="28"/>
        <v>13</v>
      </c>
      <c r="L53">
        <v>75000</v>
      </c>
      <c r="M53" s="73">
        <v>-30000</v>
      </c>
      <c r="N53">
        <f t="shared" si="29"/>
        <v>50000</v>
      </c>
      <c r="O53" s="72">
        <f t="shared" si="30"/>
        <v>150</v>
      </c>
      <c r="P53">
        <f t="shared" si="31"/>
        <v>1.36</v>
      </c>
      <c r="Q53">
        <f t="shared" si="32"/>
        <v>2000</v>
      </c>
    </row>
    <row r="54" spans="2:17">
      <c r="B54">
        <v>7</v>
      </c>
      <c r="D54" s="77">
        <f t="shared" si="22"/>
        <v>-276898.81938978413</v>
      </c>
      <c r="E54" s="73">
        <f t="shared" si="23"/>
        <v>-169712.29764157443</v>
      </c>
      <c r="F54" s="73">
        <f t="shared" si="24"/>
        <v>-65806.196434534417</v>
      </c>
      <c r="G54" s="73">
        <f t="shared" si="25"/>
        <v>-219712.29764157443</v>
      </c>
      <c r="H54" s="27">
        <f t="shared" si="26"/>
        <v>37965.113327616011</v>
      </c>
      <c r="I54" s="74">
        <f t="shared" si="33"/>
        <v>5.0620151103488018</v>
      </c>
      <c r="J54" s="27">
        <f t="shared" si="27"/>
        <v>26</v>
      </c>
      <c r="K54" s="27">
        <f t="shared" si="28"/>
        <v>13</v>
      </c>
      <c r="L54">
        <v>75000</v>
      </c>
      <c r="M54" s="73">
        <v>-30000</v>
      </c>
      <c r="N54">
        <f t="shared" si="29"/>
        <v>50000</v>
      </c>
      <c r="O54" s="72">
        <f t="shared" si="30"/>
        <v>150</v>
      </c>
      <c r="P54">
        <f t="shared" si="31"/>
        <v>1.36</v>
      </c>
      <c r="Q54">
        <f t="shared" si="32"/>
        <v>2000</v>
      </c>
    </row>
    <row r="55" spans="2:17">
      <c r="B55" s="26">
        <v>8</v>
      </c>
      <c r="C55" s="26"/>
      <c r="D55" s="76">
        <f t="shared" si="22"/>
        <v>208250.49394617113</v>
      </c>
      <c r="E55" s="76">
        <f t="shared" si="23"/>
        <v>22065.760539068753</v>
      </c>
      <c r="F55" s="76">
        <f>L55*I55/70*J55</f>
        <v>191778.05818064319</v>
      </c>
      <c r="G55" s="76">
        <f t="shared" si="25"/>
        <v>-27934.239460931247</v>
      </c>
      <c r="H55" s="27">
        <f t="shared" si="26"/>
        <v>51632.554125557777</v>
      </c>
      <c r="I55" s="74">
        <f t="shared" si="33"/>
        <v>6.8843405500743708</v>
      </c>
      <c r="J55" s="27">
        <f t="shared" si="27"/>
        <v>26</v>
      </c>
      <c r="K55" s="27">
        <f t="shared" si="28"/>
        <v>13</v>
      </c>
      <c r="L55">
        <v>75000</v>
      </c>
      <c r="M55" s="73">
        <v>-30000</v>
      </c>
      <c r="N55">
        <f t="shared" si="29"/>
        <v>50000</v>
      </c>
      <c r="O55" s="72">
        <f t="shared" si="30"/>
        <v>150</v>
      </c>
      <c r="P55">
        <f t="shared" si="31"/>
        <v>1.36</v>
      </c>
      <c r="Q55">
        <f t="shared" si="32"/>
        <v>2000</v>
      </c>
    </row>
    <row r="56" spans="2:17">
      <c r="F56" s="73" t="s">
        <v>70</v>
      </c>
      <c r="G56" s="73">
        <f>G55/8</f>
        <v>-3491.7799326164059</v>
      </c>
      <c r="I56" s="74"/>
    </row>
    <row r="57" spans="2:17">
      <c r="I57" s="74"/>
    </row>
    <row r="58" spans="2:17">
      <c r="B58">
        <v>1</v>
      </c>
      <c r="C58" t="s">
        <v>72</v>
      </c>
      <c r="D58" s="73">
        <f t="shared" ref="D58:D66" si="34">(E58*0.8)+(F58*P58)-(H58*P58)</f>
        <v>9376</v>
      </c>
      <c r="E58" s="73">
        <f t="shared" ref="E58:E66" si="35">N58+G58</f>
        <v>39600</v>
      </c>
      <c r="F58" s="73">
        <f t="shared" ref="F58:F65" si="36">M58*I58/30*K58</f>
        <v>-10400</v>
      </c>
      <c r="G58" s="73">
        <f t="shared" ref="G58:G66" si="37">G57+F58</f>
        <v>-10400</v>
      </c>
      <c r="H58" s="27">
        <f t="shared" ref="H58:H66" si="38">100000*O58*I58/Q58</f>
        <v>6000</v>
      </c>
      <c r="I58" s="74">
        <f>F2</f>
        <v>0.8</v>
      </c>
      <c r="J58" s="27">
        <f t="shared" ref="J58:J66" si="39">$J$6</f>
        <v>26</v>
      </c>
      <c r="K58" s="27">
        <f t="shared" ref="K58:K66" si="40">$K$6</f>
        <v>13</v>
      </c>
      <c r="L58">
        <v>75000</v>
      </c>
      <c r="M58" s="73">
        <v>-30000</v>
      </c>
      <c r="N58">
        <f t="shared" ref="N58:N66" si="41">$N$6</f>
        <v>50000</v>
      </c>
      <c r="O58" s="72">
        <f t="shared" ref="O58:O66" si="42">$O$6</f>
        <v>150</v>
      </c>
      <c r="P58">
        <f t="shared" ref="P58:P66" si="43">$P$6</f>
        <v>1.36</v>
      </c>
      <c r="Q58">
        <f t="shared" ref="Q58:Q66" si="44">$Q$6</f>
        <v>2000</v>
      </c>
    </row>
    <row r="59" spans="2:17">
      <c r="B59">
        <v>2</v>
      </c>
      <c r="D59" s="73">
        <f t="shared" si="34"/>
        <v>-9968.6400000000103</v>
      </c>
      <c r="E59" s="73">
        <f t="shared" si="35"/>
        <v>25455.999999999996</v>
      </c>
      <c r="F59" s="73">
        <f t="shared" si="36"/>
        <v>-14144.000000000004</v>
      </c>
      <c r="G59" s="73">
        <f t="shared" si="37"/>
        <v>-24544.000000000004</v>
      </c>
      <c r="H59" s="27">
        <f t="shared" si="38"/>
        <v>8160.0000000000009</v>
      </c>
      <c r="I59" s="74">
        <f t="shared" ref="I59:I66" si="45">I58*P59</f>
        <v>1.0880000000000001</v>
      </c>
      <c r="J59" s="27">
        <f t="shared" si="39"/>
        <v>26</v>
      </c>
      <c r="K59" s="27">
        <f t="shared" si="40"/>
        <v>13</v>
      </c>
      <c r="L59">
        <v>75000</v>
      </c>
      <c r="M59" s="73">
        <v>-30000</v>
      </c>
      <c r="N59">
        <f t="shared" si="41"/>
        <v>50000</v>
      </c>
      <c r="O59" s="72">
        <f t="shared" si="42"/>
        <v>150</v>
      </c>
      <c r="P59">
        <f t="shared" si="43"/>
        <v>1.36</v>
      </c>
      <c r="Q59">
        <f t="shared" si="44"/>
        <v>2000</v>
      </c>
    </row>
    <row r="60" spans="2:17">
      <c r="B60">
        <v>3</v>
      </c>
      <c r="D60" s="73">
        <f t="shared" si="34"/>
        <v>-36277.35040000001</v>
      </c>
      <c r="E60" s="73">
        <f t="shared" si="35"/>
        <v>6220.1599999999962</v>
      </c>
      <c r="F60" s="73">
        <f t="shared" si="36"/>
        <v>-19235.84</v>
      </c>
      <c r="G60" s="73">
        <f t="shared" si="37"/>
        <v>-43779.840000000004</v>
      </c>
      <c r="H60" s="27">
        <f t="shared" si="38"/>
        <v>11097.6</v>
      </c>
      <c r="I60" s="74">
        <f t="shared" si="45"/>
        <v>1.4796800000000001</v>
      </c>
      <c r="J60" s="27">
        <f t="shared" si="39"/>
        <v>26</v>
      </c>
      <c r="K60" s="27">
        <f t="shared" si="40"/>
        <v>13</v>
      </c>
      <c r="L60">
        <v>75000</v>
      </c>
      <c r="M60" s="73">
        <v>-30000</v>
      </c>
      <c r="N60">
        <f t="shared" si="41"/>
        <v>50000</v>
      </c>
      <c r="O60" s="72">
        <f t="shared" si="42"/>
        <v>150</v>
      </c>
      <c r="P60">
        <f t="shared" si="43"/>
        <v>1.36</v>
      </c>
      <c r="Q60">
        <f t="shared" si="44"/>
        <v>2000</v>
      </c>
    </row>
    <row r="61" spans="2:17">
      <c r="B61">
        <v>4</v>
      </c>
      <c r="D61" s="73">
        <f t="shared" si="34"/>
        <v>-72057.19654400002</v>
      </c>
      <c r="E61" s="73">
        <f t="shared" si="35"/>
        <v>-19940.582400000014</v>
      </c>
      <c r="F61" s="73">
        <f t="shared" si="36"/>
        <v>-26160.742400000003</v>
      </c>
      <c r="G61" s="73">
        <f t="shared" si="37"/>
        <v>-69940.582400000014</v>
      </c>
      <c r="H61" s="27">
        <f t="shared" si="38"/>
        <v>15092.736000000003</v>
      </c>
      <c r="I61" s="74">
        <f t="shared" si="45"/>
        <v>2.0123648000000003</v>
      </c>
      <c r="J61" s="27">
        <f t="shared" si="39"/>
        <v>26</v>
      </c>
      <c r="K61" s="27">
        <f t="shared" si="40"/>
        <v>13</v>
      </c>
      <c r="L61">
        <v>75000</v>
      </c>
      <c r="M61" s="73">
        <v>-30000</v>
      </c>
      <c r="N61">
        <f t="shared" si="41"/>
        <v>50000</v>
      </c>
      <c r="O61" s="72">
        <f t="shared" si="42"/>
        <v>150</v>
      </c>
      <c r="P61">
        <f t="shared" si="43"/>
        <v>1.36</v>
      </c>
      <c r="Q61">
        <f t="shared" si="44"/>
        <v>2000</v>
      </c>
    </row>
    <row r="62" spans="2:17">
      <c r="B62">
        <v>5</v>
      </c>
      <c r="D62" s="73">
        <f t="shared" si="34"/>
        <v>-120717.78729984004</v>
      </c>
      <c r="E62" s="73">
        <f t="shared" si="35"/>
        <v>-55519.192064000017</v>
      </c>
      <c r="F62" s="73">
        <f t="shared" si="36"/>
        <v>-35578.609664000003</v>
      </c>
      <c r="G62" s="73">
        <f t="shared" si="37"/>
        <v>-105519.19206400002</v>
      </c>
      <c r="H62" s="27">
        <f t="shared" si="38"/>
        <v>20526.120960000004</v>
      </c>
      <c r="I62" s="74">
        <f t="shared" si="45"/>
        <v>2.7368161280000005</v>
      </c>
      <c r="J62" s="27">
        <f t="shared" si="39"/>
        <v>26</v>
      </c>
      <c r="K62" s="27">
        <f t="shared" si="40"/>
        <v>13</v>
      </c>
      <c r="L62">
        <v>75000</v>
      </c>
      <c r="M62" s="73">
        <v>-30000</v>
      </c>
      <c r="N62">
        <f t="shared" si="41"/>
        <v>50000</v>
      </c>
      <c r="O62" s="72">
        <f t="shared" si="42"/>
        <v>150</v>
      </c>
      <c r="P62">
        <f t="shared" si="43"/>
        <v>1.36</v>
      </c>
      <c r="Q62">
        <f t="shared" si="44"/>
        <v>2000</v>
      </c>
    </row>
    <row r="63" spans="2:17">
      <c r="B63">
        <v>6</v>
      </c>
      <c r="D63" s="73">
        <f t="shared" si="34"/>
        <v>-186896.19072778244</v>
      </c>
      <c r="E63" s="73">
        <f t="shared" si="35"/>
        <v>-103906.10120704002</v>
      </c>
      <c r="F63" s="73">
        <f t="shared" si="36"/>
        <v>-48386.909143040008</v>
      </c>
      <c r="G63" s="73">
        <f t="shared" si="37"/>
        <v>-153906.10120704002</v>
      </c>
      <c r="H63" s="27">
        <f t="shared" si="38"/>
        <v>27915.524505600006</v>
      </c>
      <c r="I63" s="74">
        <f t="shared" si="45"/>
        <v>3.7220699340800008</v>
      </c>
      <c r="J63" s="27">
        <f t="shared" si="39"/>
        <v>26</v>
      </c>
      <c r="K63" s="27">
        <f t="shared" si="40"/>
        <v>13</v>
      </c>
      <c r="L63">
        <v>75000</v>
      </c>
      <c r="M63" s="73">
        <v>-30000</v>
      </c>
      <c r="N63">
        <f t="shared" si="41"/>
        <v>50000</v>
      </c>
      <c r="O63" s="72">
        <f t="shared" si="42"/>
        <v>150</v>
      </c>
      <c r="P63">
        <f t="shared" si="43"/>
        <v>1.36</v>
      </c>
      <c r="Q63">
        <f t="shared" si="44"/>
        <v>2000</v>
      </c>
    </row>
    <row r="64" spans="2:17">
      <c r="B64">
        <v>7</v>
      </c>
      <c r="D64" s="73">
        <f t="shared" si="34"/>
        <v>-276898.81938978413</v>
      </c>
      <c r="E64" s="73">
        <f t="shared" si="35"/>
        <v>-169712.29764157443</v>
      </c>
      <c r="F64" s="73">
        <f t="shared" si="36"/>
        <v>-65806.196434534417</v>
      </c>
      <c r="G64" s="73">
        <f t="shared" si="37"/>
        <v>-219712.29764157443</v>
      </c>
      <c r="H64" s="27">
        <f t="shared" si="38"/>
        <v>37965.113327616011</v>
      </c>
      <c r="I64" s="74">
        <f t="shared" si="45"/>
        <v>5.0620151103488018</v>
      </c>
      <c r="J64" s="27">
        <f t="shared" si="39"/>
        <v>26</v>
      </c>
      <c r="K64" s="27">
        <f t="shared" si="40"/>
        <v>13</v>
      </c>
      <c r="L64">
        <v>75000</v>
      </c>
      <c r="M64" s="73">
        <v>-30000</v>
      </c>
      <c r="N64">
        <f t="shared" si="41"/>
        <v>50000</v>
      </c>
      <c r="O64" s="72">
        <f t="shared" si="42"/>
        <v>150</v>
      </c>
      <c r="P64">
        <f t="shared" si="43"/>
        <v>1.36</v>
      </c>
      <c r="Q64">
        <f t="shared" si="44"/>
        <v>2000</v>
      </c>
    </row>
    <row r="65" spans="2:17">
      <c r="B65">
        <v>8</v>
      </c>
      <c r="D65" s="77">
        <f t="shared" si="34"/>
        <v>-399302.39437010646</v>
      </c>
      <c r="E65" s="73">
        <f t="shared" si="35"/>
        <v>-259208.72479254124</v>
      </c>
      <c r="F65" s="73">
        <f t="shared" si="36"/>
        <v>-89496.427150966818</v>
      </c>
      <c r="G65" s="73">
        <f t="shared" si="37"/>
        <v>-309208.72479254124</v>
      </c>
      <c r="H65" s="27">
        <f t="shared" si="38"/>
        <v>51632.554125557777</v>
      </c>
      <c r="I65" s="74">
        <f t="shared" si="45"/>
        <v>6.8843405500743708</v>
      </c>
      <c r="J65" s="27">
        <f t="shared" si="39"/>
        <v>26</v>
      </c>
      <c r="K65" s="27">
        <f t="shared" si="40"/>
        <v>13</v>
      </c>
      <c r="L65">
        <v>75000</v>
      </c>
      <c r="M65" s="73">
        <v>-30000</v>
      </c>
      <c r="N65">
        <f t="shared" si="41"/>
        <v>50000</v>
      </c>
      <c r="O65" s="72">
        <f t="shared" si="42"/>
        <v>150</v>
      </c>
      <c r="P65">
        <f t="shared" si="43"/>
        <v>1.36</v>
      </c>
      <c r="Q65">
        <f t="shared" si="44"/>
        <v>2000</v>
      </c>
    </row>
    <row r="66" spans="2:17">
      <c r="B66" s="26">
        <v>9</v>
      </c>
      <c r="C66" s="26"/>
      <c r="D66" s="76">
        <f t="shared" si="34"/>
        <v>260500.67176679289</v>
      </c>
      <c r="E66" s="76">
        <f t="shared" si="35"/>
        <v>1609.4343331335403</v>
      </c>
      <c r="F66" s="76">
        <f>L66*I66/70*J66</f>
        <v>260818.15912567478</v>
      </c>
      <c r="G66" s="76">
        <f t="shared" si="37"/>
        <v>-48390.56566686646</v>
      </c>
      <c r="H66" s="27">
        <f t="shared" si="38"/>
        <v>70220.273610758581</v>
      </c>
      <c r="I66" s="74">
        <f t="shared" si="45"/>
        <v>9.3627031481011453</v>
      </c>
      <c r="J66" s="27">
        <f t="shared" si="39"/>
        <v>26</v>
      </c>
      <c r="K66" s="27">
        <f t="shared" si="40"/>
        <v>13</v>
      </c>
      <c r="L66">
        <v>75000</v>
      </c>
      <c r="M66" s="73">
        <v>-30000</v>
      </c>
      <c r="N66">
        <f t="shared" si="41"/>
        <v>50000</v>
      </c>
      <c r="O66" s="72">
        <f t="shared" si="42"/>
        <v>150</v>
      </c>
      <c r="P66">
        <f t="shared" si="43"/>
        <v>1.36</v>
      </c>
      <c r="Q66">
        <f t="shared" si="44"/>
        <v>2000</v>
      </c>
    </row>
    <row r="67" spans="2:17">
      <c r="F67" s="73" t="s">
        <v>70</v>
      </c>
      <c r="G67" s="73">
        <f>G66/9</f>
        <v>-5376.7295185407174</v>
      </c>
      <c r="I67" s="74"/>
    </row>
    <row r="68" spans="2:17">
      <c r="I68" s="74"/>
    </row>
    <row r="69" spans="2:17">
      <c r="B69">
        <v>1</v>
      </c>
      <c r="C69" t="s">
        <v>71</v>
      </c>
      <c r="D69" s="73">
        <f t="shared" ref="D69:D78" si="46">(E69*0.8)+(F69*P69)-(H69*P69)</f>
        <v>9376</v>
      </c>
      <c r="E69" s="73">
        <f t="shared" ref="E69:E78" si="47">N69+G69</f>
        <v>39600</v>
      </c>
      <c r="F69" s="73">
        <f t="shared" ref="F69:F77" si="48">M69*I69/30*K69</f>
        <v>-10400</v>
      </c>
      <c r="G69" s="73">
        <f>F69</f>
        <v>-10400</v>
      </c>
      <c r="H69" s="27">
        <f t="shared" ref="H69:H78" si="49">100000*O69*I69/Q69</f>
        <v>6000</v>
      </c>
      <c r="I69" s="74">
        <f>F2</f>
        <v>0.8</v>
      </c>
      <c r="J69" s="27">
        <f t="shared" ref="J69:J78" si="50">$J$6</f>
        <v>26</v>
      </c>
      <c r="K69" s="27">
        <f t="shared" ref="K69:K78" si="51">$K$6</f>
        <v>13</v>
      </c>
      <c r="L69">
        <v>75000</v>
      </c>
      <c r="M69" s="73">
        <v>-30000</v>
      </c>
      <c r="N69">
        <f t="shared" ref="N69:N78" si="52">$N$6</f>
        <v>50000</v>
      </c>
      <c r="O69" s="72">
        <f t="shared" ref="O69:O78" si="53">$O$6</f>
        <v>150</v>
      </c>
      <c r="P69">
        <f t="shared" ref="P69:P78" si="54">$P$6</f>
        <v>1.36</v>
      </c>
      <c r="Q69">
        <f t="shared" ref="Q69:Q78" si="55">$Q$6</f>
        <v>2000</v>
      </c>
    </row>
    <row r="70" spans="2:17">
      <c r="B70">
        <v>2</v>
      </c>
      <c r="D70" s="73">
        <f t="shared" si="46"/>
        <v>-9968.6400000000103</v>
      </c>
      <c r="E70" s="73">
        <f t="shared" si="47"/>
        <v>25455.999999999996</v>
      </c>
      <c r="F70" s="73">
        <f t="shared" si="48"/>
        <v>-14144.000000000004</v>
      </c>
      <c r="G70" s="73">
        <f t="shared" ref="G70:G78" si="56">G69+F70</f>
        <v>-24544.000000000004</v>
      </c>
      <c r="H70" s="27">
        <f t="shared" si="49"/>
        <v>8160.0000000000009</v>
      </c>
      <c r="I70" s="74">
        <f t="shared" ref="I70:I78" si="57">I69*P70</f>
        <v>1.0880000000000001</v>
      </c>
      <c r="J70" s="27">
        <f t="shared" si="50"/>
        <v>26</v>
      </c>
      <c r="K70" s="27">
        <f t="shared" si="51"/>
        <v>13</v>
      </c>
      <c r="L70">
        <v>75000</v>
      </c>
      <c r="M70" s="73">
        <v>-30000</v>
      </c>
      <c r="N70">
        <f t="shared" si="52"/>
        <v>50000</v>
      </c>
      <c r="O70" s="72">
        <f t="shared" si="53"/>
        <v>150</v>
      </c>
      <c r="P70">
        <f t="shared" si="54"/>
        <v>1.36</v>
      </c>
      <c r="Q70">
        <f t="shared" si="55"/>
        <v>2000</v>
      </c>
    </row>
    <row r="71" spans="2:17">
      <c r="B71">
        <v>3</v>
      </c>
      <c r="D71" s="73">
        <f t="shared" si="46"/>
        <v>-36277.35040000001</v>
      </c>
      <c r="E71" s="73">
        <f t="shared" si="47"/>
        <v>6220.1599999999962</v>
      </c>
      <c r="F71" s="73">
        <f t="shared" si="48"/>
        <v>-19235.84</v>
      </c>
      <c r="G71" s="73">
        <f t="shared" si="56"/>
        <v>-43779.840000000004</v>
      </c>
      <c r="H71" s="27">
        <f t="shared" si="49"/>
        <v>11097.6</v>
      </c>
      <c r="I71" s="74">
        <f t="shared" si="57"/>
        <v>1.4796800000000001</v>
      </c>
      <c r="J71" s="27">
        <f t="shared" si="50"/>
        <v>26</v>
      </c>
      <c r="K71" s="27">
        <f t="shared" si="51"/>
        <v>13</v>
      </c>
      <c r="L71">
        <v>75000</v>
      </c>
      <c r="M71" s="73">
        <v>-30000</v>
      </c>
      <c r="N71">
        <f t="shared" si="52"/>
        <v>50000</v>
      </c>
      <c r="O71" s="72">
        <f t="shared" si="53"/>
        <v>150</v>
      </c>
      <c r="P71">
        <f t="shared" si="54"/>
        <v>1.36</v>
      </c>
      <c r="Q71">
        <f t="shared" si="55"/>
        <v>2000</v>
      </c>
    </row>
    <row r="72" spans="2:17">
      <c r="B72">
        <v>4</v>
      </c>
      <c r="D72" s="73">
        <f t="shared" si="46"/>
        <v>-72057.19654400002</v>
      </c>
      <c r="E72" s="73">
        <f t="shared" si="47"/>
        <v>-19940.582400000014</v>
      </c>
      <c r="F72" s="73">
        <f t="shared" si="48"/>
        <v>-26160.742400000003</v>
      </c>
      <c r="G72" s="73">
        <f t="shared" si="56"/>
        <v>-69940.582400000014</v>
      </c>
      <c r="H72" s="27">
        <f t="shared" si="49"/>
        <v>15092.736000000003</v>
      </c>
      <c r="I72" s="74">
        <f t="shared" si="57"/>
        <v>2.0123648000000003</v>
      </c>
      <c r="J72" s="27">
        <f t="shared" si="50"/>
        <v>26</v>
      </c>
      <c r="K72" s="27">
        <f t="shared" si="51"/>
        <v>13</v>
      </c>
      <c r="L72">
        <v>75000</v>
      </c>
      <c r="M72" s="73">
        <v>-30000</v>
      </c>
      <c r="N72">
        <f t="shared" si="52"/>
        <v>50000</v>
      </c>
      <c r="O72" s="72">
        <f t="shared" si="53"/>
        <v>150</v>
      </c>
      <c r="P72">
        <f t="shared" si="54"/>
        <v>1.36</v>
      </c>
      <c r="Q72">
        <f t="shared" si="55"/>
        <v>2000</v>
      </c>
    </row>
    <row r="73" spans="2:17">
      <c r="B73">
        <v>5</v>
      </c>
      <c r="D73" s="73">
        <f t="shared" si="46"/>
        <v>-120717.78729984004</v>
      </c>
      <c r="E73" s="73">
        <f t="shared" si="47"/>
        <v>-55519.192064000017</v>
      </c>
      <c r="F73" s="73">
        <f t="shared" si="48"/>
        <v>-35578.609664000003</v>
      </c>
      <c r="G73" s="73">
        <f t="shared" si="56"/>
        <v>-105519.19206400002</v>
      </c>
      <c r="H73" s="27">
        <f t="shared" si="49"/>
        <v>20526.120960000004</v>
      </c>
      <c r="I73" s="74">
        <f t="shared" si="57"/>
        <v>2.7368161280000005</v>
      </c>
      <c r="J73" s="27">
        <f t="shared" si="50"/>
        <v>26</v>
      </c>
      <c r="K73" s="27">
        <f t="shared" si="51"/>
        <v>13</v>
      </c>
      <c r="L73">
        <v>75000</v>
      </c>
      <c r="M73" s="73">
        <v>-30000</v>
      </c>
      <c r="N73">
        <f t="shared" si="52"/>
        <v>50000</v>
      </c>
      <c r="O73" s="72">
        <f t="shared" si="53"/>
        <v>150</v>
      </c>
      <c r="P73">
        <f t="shared" si="54"/>
        <v>1.36</v>
      </c>
      <c r="Q73">
        <f t="shared" si="55"/>
        <v>2000</v>
      </c>
    </row>
    <row r="74" spans="2:17">
      <c r="B74">
        <v>6</v>
      </c>
      <c r="D74" s="73">
        <f t="shared" si="46"/>
        <v>-186896.19072778244</v>
      </c>
      <c r="E74" s="73">
        <f t="shared" si="47"/>
        <v>-103906.10120704002</v>
      </c>
      <c r="F74" s="73">
        <f t="shared" si="48"/>
        <v>-48386.909143040008</v>
      </c>
      <c r="G74" s="73">
        <f t="shared" si="56"/>
        <v>-153906.10120704002</v>
      </c>
      <c r="H74" s="27">
        <f t="shared" si="49"/>
        <v>27915.524505600006</v>
      </c>
      <c r="I74" s="74">
        <f t="shared" si="57"/>
        <v>3.7220699340800008</v>
      </c>
      <c r="J74" s="27">
        <f t="shared" si="50"/>
        <v>26</v>
      </c>
      <c r="K74" s="27">
        <f t="shared" si="51"/>
        <v>13</v>
      </c>
      <c r="L74">
        <v>75000</v>
      </c>
      <c r="M74" s="73">
        <v>-30000</v>
      </c>
      <c r="N74">
        <f t="shared" si="52"/>
        <v>50000</v>
      </c>
      <c r="O74" s="72">
        <f t="shared" si="53"/>
        <v>150</v>
      </c>
      <c r="P74">
        <f t="shared" si="54"/>
        <v>1.36</v>
      </c>
      <c r="Q74">
        <f t="shared" si="55"/>
        <v>2000</v>
      </c>
    </row>
    <row r="75" spans="2:17">
      <c r="B75">
        <v>7</v>
      </c>
      <c r="D75" s="73">
        <f t="shared" si="46"/>
        <v>-276898.81938978413</v>
      </c>
      <c r="E75" s="73">
        <f t="shared" si="47"/>
        <v>-169712.29764157443</v>
      </c>
      <c r="F75" s="73">
        <f t="shared" si="48"/>
        <v>-65806.196434534417</v>
      </c>
      <c r="G75" s="73">
        <f t="shared" si="56"/>
        <v>-219712.29764157443</v>
      </c>
      <c r="H75" s="27">
        <f t="shared" si="49"/>
        <v>37965.113327616011</v>
      </c>
      <c r="I75" s="74">
        <f t="shared" si="57"/>
        <v>5.0620151103488018</v>
      </c>
      <c r="J75" s="27">
        <f t="shared" si="50"/>
        <v>26</v>
      </c>
      <c r="K75" s="27">
        <f t="shared" si="51"/>
        <v>13</v>
      </c>
      <c r="L75">
        <v>75000</v>
      </c>
      <c r="M75" s="73">
        <v>-30000</v>
      </c>
      <c r="N75">
        <f t="shared" si="52"/>
        <v>50000</v>
      </c>
      <c r="O75" s="72">
        <f t="shared" si="53"/>
        <v>150</v>
      </c>
      <c r="P75">
        <f t="shared" si="54"/>
        <v>1.36</v>
      </c>
      <c r="Q75">
        <f t="shared" si="55"/>
        <v>2000</v>
      </c>
    </row>
    <row r="76" spans="2:17">
      <c r="B76">
        <v>8</v>
      </c>
      <c r="D76" s="73">
        <f t="shared" si="46"/>
        <v>-399302.39437010646</v>
      </c>
      <c r="E76" s="73">
        <f t="shared" si="47"/>
        <v>-259208.72479254124</v>
      </c>
      <c r="F76" s="73">
        <f t="shared" si="48"/>
        <v>-89496.427150966818</v>
      </c>
      <c r="G76" s="73">
        <f t="shared" si="56"/>
        <v>-309208.72479254124</v>
      </c>
      <c r="H76" s="27">
        <f t="shared" si="49"/>
        <v>51632.554125557777</v>
      </c>
      <c r="I76" s="74">
        <f t="shared" si="57"/>
        <v>6.8843405500743708</v>
      </c>
      <c r="J76" s="27">
        <f t="shared" si="50"/>
        <v>26</v>
      </c>
      <c r="K76" s="27">
        <f t="shared" si="51"/>
        <v>13</v>
      </c>
      <c r="L76">
        <v>75000</v>
      </c>
      <c r="M76" s="73">
        <v>-30000</v>
      </c>
      <c r="N76">
        <f t="shared" si="52"/>
        <v>50000</v>
      </c>
      <c r="O76" s="72">
        <f t="shared" si="53"/>
        <v>150</v>
      </c>
      <c r="P76">
        <f t="shared" si="54"/>
        <v>1.36</v>
      </c>
      <c r="Q76">
        <f t="shared" si="55"/>
        <v>2000</v>
      </c>
    </row>
    <row r="77" spans="2:17">
      <c r="B77">
        <v>9</v>
      </c>
      <c r="D77" s="77">
        <f t="shared" si="46"/>
        <v>-565771.25634334481</v>
      </c>
      <c r="E77" s="75">
        <f t="shared" si="47"/>
        <v>-380923.8657178561</v>
      </c>
      <c r="F77" s="73">
        <f t="shared" si="48"/>
        <v>-121715.14092531489</v>
      </c>
      <c r="G77" s="73">
        <f t="shared" si="56"/>
        <v>-430923.8657178561</v>
      </c>
      <c r="H77" s="27">
        <f t="shared" si="49"/>
        <v>70220.273610758581</v>
      </c>
      <c r="I77" s="74">
        <f t="shared" si="57"/>
        <v>9.3627031481011453</v>
      </c>
      <c r="J77" s="27">
        <f t="shared" si="50"/>
        <v>26</v>
      </c>
      <c r="K77" s="27">
        <f t="shared" si="51"/>
        <v>13</v>
      </c>
      <c r="L77">
        <v>75000</v>
      </c>
      <c r="M77" s="73">
        <v>-30000</v>
      </c>
      <c r="N77">
        <f t="shared" si="52"/>
        <v>50000</v>
      </c>
      <c r="O77" s="72">
        <f t="shared" si="53"/>
        <v>150</v>
      </c>
      <c r="P77">
        <f t="shared" si="54"/>
        <v>1.36</v>
      </c>
      <c r="Q77">
        <f t="shared" si="55"/>
        <v>2000</v>
      </c>
    </row>
    <row r="78" spans="2:17">
      <c r="B78" s="26">
        <v>10</v>
      </c>
      <c r="C78" s="26"/>
      <c r="D78" s="76">
        <f t="shared" si="46"/>
        <v>331560.91360283829</v>
      </c>
      <c r="E78" s="76">
        <f t="shared" si="47"/>
        <v>-26211.16930693842</v>
      </c>
      <c r="F78" s="76">
        <f>L78*I78/70*J78</f>
        <v>354712.69641091768</v>
      </c>
      <c r="G78" s="76">
        <f t="shared" si="56"/>
        <v>-76211.16930693842</v>
      </c>
      <c r="H78" s="27">
        <f t="shared" si="49"/>
        <v>95499.572110631692</v>
      </c>
      <c r="I78" s="74">
        <f t="shared" si="57"/>
        <v>12.733276281417558</v>
      </c>
      <c r="J78" s="27">
        <f t="shared" si="50"/>
        <v>26</v>
      </c>
      <c r="K78" s="27">
        <f t="shared" si="51"/>
        <v>13</v>
      </c>
      <c r="L78">
        <v>75000</v>
      </c>
      <c r="M78" s="73">
        <v>-30000</v>
      </c>
      <c r="N78">
        <f t="shared" si="52"/>
        <v>50000</v>
      </c>
      <c r="O78" s="72">
        <f t="shared" si="53"/>
        <v>150</v>
      </c>
      <c r="P78">
        <f t="shared" si="54"/>
        <v>1.36</v>
      </c>
      <c r="Q78">
        <f t="shared" si="55"/>
        <v>2000</v>
      </c>
    </row>
    <row r="79" spans="2:17">
      <c r="F79" s="73" t="s">
        <v>70</v>
      </c>
      <c r="G79" s="73">
        <f>G78/10</f>
        <v>-7621.1169306938418</v>
      </c>
    </row>
    <row r="81" spans="1:17">
      <c r="A81" s="132" t="s">
        <v>193</v>
      </c>
      <c r="B81" s="220" t="s">
        <v>69</v>
      </c>
      <c r="C81" s="220"/>
    </row>
    <row r="82" spans="1:17">
      <c r="A82" s="131">
        <f>(-(G82)+H82)*1.25</f>
        <v>20500</v>
      </c>
      <c r="B82">
        <v>1</v>
      </c>
      <c r="D82" s="73">
        <f t="shared" ref="D82:D111" si="58">(E82*0.8)+(F82*P82)-(H82*P82)</f>
        <v>9376</v>
      </c>
      <c r="E82" s="73">
        <f t="shared" ref="E82:E111" si="59">N82+G82</f>
        <v>39600</v>
      </c>
      <c r="F82" s="73">
        <f t="shared" ref="F82:F111" si="60">M82*I82/30*K82</f>
        <v>-10400</v>
      </c>
      <c r="G82" s="73">
        <f>F82</f>
        <v>-10400</v>
      </c>
      <c r="H82" s="27">
        <f t="shared" ref="H82:H111" si="61">100000*O82*I82/Q82</f>
        <v>6000</v>
      </c>
      <c r="I82" s="74">
        <f>F2</f>
        <v>0.8</v>
      </c>
      <c r="J82" s="27">
        <f t="shared" ref="J82:J111" si="62">$J$6</f>
        <v>26</v>
      </c>
      <c r="K82" s="27">
        <f t="shared" ref="K82:K111" si="63">$K$6</f>
        <v>13</v>
      </c>
      <c r="L82">
        <v>75000</v>
      </c>
      <c r="M82" s="73">
        <v>-30000</v>
      </c>
      <c r="N82">
        <f t="shared" ref="N82:N111" si="64">$N$6</f>
        <v>50000</v>
      </c>
      <c r="O82" s="72">
        <f t="shared" ref="O82:O111" si="65">$O$6</f>
        <v>150</v>
      </c>
      <c r="P82">
        <f t="shared" ref="P82:P111" si="66">$P$6</f>
        <v>1.36</v>
      </c>
      <c r="Q82">
        <f t="shared" ref="Q82:Q111" si="67">$Q$6</f>
        <v>2000</v>
      </c>
    </row>
    <row r="83" spans="1:17">
      <c r="A83" s="131">
        <f t="shared" ref="A83:A111" si="68">(-(G83)+H83)*1.25</f>
        <v>40880.000000000007</v>
      </c>
      <c r="B83">
        <v>2</v>
      </c>
      <c r="D83" s="73">
        <f t="shared" si="58"/>
        <v>-9968.6400000000103</v>
      </c>
      <c r="E83" s="73">
        <f t="shared" si="59"/>
        <v>25455.999999999996</v>
      </c>
      <c r="F83" s="73">
        <f t="shared" si="60"/>
        <v>-14144.000000000004</v>
      </c>
      <c r="G83" s="73">
        <f t="shared" ref="G83:G111" si="69">G82+F83</f>
        <v>-24544.000000000004</v>
      </c>
      <c r="H83" s="27">
        <f t="shared" si="61"/>
        <v>8160.0000000000009</v>
      </c>
      <c r="I83" s="74">
        <f t="shared" ref="I83:I111" si="70">I82*P83</f>
        <v>1.0880000000000001</v>
      </c>
      <c r="J83" s="27">
        <f t="shared" si="62"/>
        <v>26</v>
      </c>
      <c r="K83" s="27">
        <f t="shared" si="63"/>
        <v>13</v>
      </c>
      <c r="L83">
        <v>75000</v>
      </c>
      <c r="M83" s="73">
        <v>-30000</v>
      </c>
      <c r="N83">
        <f t="shared" si="64"/>
        <v>50000</v>
      </c>
      <c r="O83" s="72">
        <f t="shared" si="65"/>
        <v>150</v>
      </c>
      <c r="P83">
        <f t="shared" si="66"/>
        <v>1.36</v>
      </c>
      <c r="Q83">
        <f t="shared" si="67"/>
        <v>2000</v>
      </c>
    </row>
    <row r="84" spans="1:17">
      <c r="A84" s="131">
        <f t="shared" si="68"/>
        <v>68596.800000000003</v>
      </c>
      <c r="B84">
        <v>3</v>
      </c>
      <c r="D84" s="73">
        <f t="shared" si="58"/>
        <v>-36277.35040000001</v>
      </c>
      <c r="E84" s="73">
        <f t="shared" si="59"/>
        <v>6220.1599999999962</v>
      </c>
      <c r="F84" s="73">
        <f t="shared" si="60"/>
        <v>-19235.84</v>
      </c>
      <c r="G84" s="73">
        <f t="shared" si="69"/>
        <v>-43779.840000000004</v>
      </c>
      <c r="H84" s="27">
        <f t="shared" si="61"/>
        <v>11097.6</v>
      </c>
      <c r="I84" s="74">
        <f t="shared" si="70"/>
        <v>1.4796800000000001</v>
      </c>
      <c r="J84" s="27">
        <f t="shared" si="62"/>
        <v>26</v>
      </c>
      <c r="K84" s="27">
        <f t="shared" si="63"/>
        <v>13</v>
      </c>
      <c r="L84">
        <v>75000</v>
      </c>
      <c r="M84" s="73">
        <v>-30000</v>
      </c>
      <c r="N84">
        <f t="shared" si="64"/>
        <v>50000</v>
      </c>
      <c r="O84" s="72">
        <f t="shared" si="65"/>
        <v>150</v>
      </c>
      <c r="P84">
        <f t="shared" si="66"/>
        <v>1.36</v>
      </c>
      <c r="Q84">
        <f t="shared" si="67"/>
        <v>2000</v>
      </c>
    </row>
    <row r="85" spans="1:17">
      <c r="A85" s="131">
        <f t="shared" si="68"/>
        <v>106291.64800000002</v>
      </c>
      <c r="B85">
        <v>4</v>
      </c>
      <c r="D85" s="73">
        <f t="shared" si="58"/>
        <v>-72057.19654400002</v>
      </c>
      <c r="E85" s="73">
        <f t="shared" si="59"/>
        <v>-19940.582400000014</v>
      </c>
      <c r="F85" s="73">
        <f t="shared" si="60"/>
        <v>-26160.742400000003</v>
      </c>
      <c r="G85" s="73">
        <f t="shared" si="69"/>
        <v>-69940.582400000014</v>
      </c>
      <c r="H85" s="27">
        <f t="shared" si="61"/>
        <v>15092.736000000003</v>
      </c>
      <c r="I85" s="74">
        <f t="shared" si="70"/>
        <v>2.0123648000000003</v>
      </c>
      <c r="J85" s="27">
        <f t="shared" si="62"/>
        <v>26</v>
      </c>
      <c r="K85" s="27">
        <f t="shared" si="63"/>
        <v>13</v>
      </c>
      <c r="L85">
        <v>75000</v>
      </c>
      <c r="M85" s="73">
        <v>-30000</v>
      </c>
      <c r="N85">
        <f t="shared" si="64"/>
        <v>50000</v>
      </c>
      <c r="O85" s="72">
        <f t="shared" si="65"/>
        <v>150</v>
      </c>
      <c r="P85">
        <f t="shared" si="66"/>
        <v>1.36</v>
      </c>
      <c r="Q85">
        <f t="shared" si="67"/>
        <v>2000</v>
      </c>
    </row>
    <row r="86" spans="1:17">
      <c r="A86" s="131">
        <f t="shared" si="68"/>
        <v>157556.64128000001</v>
      </c>
      <c r="B86">
        <v>5</v>
      </c>
      <c r="D86" s="73">
        <f t="shared" si="58"/>
        <v>-120717.78729984004</v>
      </c>
      <c r="E86" s="73">
        <f t="shared" si="59"/>
        <v>-55519.192064000017</v>
      </c>
      <c r="F86" s="73">
        <f t="shared" si="60"/>
        <v>-35578.609664000003</v>
      </c>
      <c r="G86" s="73">
        <f t="shared" si="69"/>
        <v>-105519.19206400002</v>
      </c>
      <c r="H86" s="27">
        <f t="shared" si="61"/>
        <v>20526.120960000004</v>
      </c>
      <c r="I86" s="74">
        <f t="shared" si="70"/>
        <v>2.7368161280000005</v>
      </c>
      <c r="J86" s="27">
        <f t="shared" si="62"/>
        <v>26</v>
      </c>
      <c r="K86" s="27">
        <f t="shared" si="63"/>
        <v>13</v>
      </c>
      <c r="L86">
        <v>75000</v>
      </c>
      <c r="M86" s="73">
        <v>-30000</v>
      </c>
      <c r="N86">
        <f t="shared" si="64"/>
        <v>50000</v>
      </c>
      <c r="O86" s="72">
        <f t="shared" si="65"/>
        <v>150</v>
      </c>
      <c r="P86">
        <f t="shared" si="66"/>
        <v>1.36</v>
      </c>
      <c r="Q86">
        <f t="shared" si="67"/>
        <v>2000</v>
      </c>
    </row>
    <row r="87" spans="1:17">
      <c r="A87" s="131">
        <f t="shared" si="68"/>
        <v>227277.03214080003</v>
      </c>
      <c r="B87">
        <v>6</v>
      </c>
      <c r="D87" s="73">
        <f t="shared" si="58"/>
        <v>-186896.19072778244</v>
      </c>
      <c r="E87" s="73">
        <f t="shared" si="59"/>
        <v>-103906.10120704002</v>
      </c>
      <c r="F87" s="73">
        <f t="shared" si="60"/>
        <v>-48386.909143040008</v>
      </c>
      <c r="G87" s="73">
        <f t="shared" si="69"/>
        <v>-153906.10120704002</v>
      </c>
      <c r="H87" s="27">
        <f t="shared" si="61"/>
        <v>27915.524505600006</v>
      </c>
      <c r="I87" s="74">
        <f t="shared" si="70"/>
        <v>3.7220699340800008</v>
      </c>
      <c r="J87" s="27">
        <f t="shared" si="62"/>
        <v>26</v>
      </c>
      <c r="K87" s="27">
        <f t="shared" si="63"/>
        <v>13</v>
      </c>
      <c r="L87">
        <v>75000</v>
      </c>
      <c r="M87" s="73">
        <v>-30000</v>
      </c>
      <c r="N87">
        <f t="shared" si="64"/>
        <v>50000</v>
      </c>
      <c r="O87" s="72">
        <f t="shared" si="65"/>
        <v>150</v>
      </c>
      <c r="P87">
        <f t="shared" si="66"/>
        <v>1.36</v>
      </c>
      <c r="Q87">
        <f t="shared" si="67"/>
        <v>2000</v>
      </c>
    </row>
    <row r="88" spans="1:17">
      <c r="A88" s="131">
        <f t="shared" si="68"/>
        <v>322096.76371148805</v>
      </c>
      <c r="B88">
        <v>7</v>
      </c>
      <c r="D88" s="73">
        <f t="shared" si="58"/>
        <v>-276898.81938978413</v>
      </c>
      <c r="E88" s="73">
        <f t="shared" si="59"/>
        <v>-169712.29764157443</v>
      </c>
      <c r="F88" s="73">
        <f t="shared" si="60"/>
        <v>-65806.196434534417</v>
      </c>
      <c r="G88" s="73">
        <f t="shared" si="69"/>
        <v>-219712.29764157443</v>
      </c>
      <c r="H88" s="27">
        <f t="shared" si="61"/>
        <v>37965.113327616011</v>
      </c>
      <c r="I88" s="74">
        <f t="shared" si="70"/>
        <v>5.0620151103488018</v>
      </c>
      <c r="J88" s="27">
        <f t="shared" si="62"/>
        <v>26</v>
      </c>
      <c r="K88" s="27">
        <f t="shared" si="63"/>
        <v>13</v>
      </c>
      <c r="L88">
        <v>75000</v>
      </c>
      <c r="M88" s="73">
        <v>-30000</v>
      </c>
      <c r="N88">
        <f t="shared" si="64"/>
        <v>50000</v>
      </c>
      <c r="O88" s="72">
        <f t="shared" si="65"/>
        <v>150</v>
      </c>
      <c r="P88">
        <f t="shared" si="66"/>
        <v>1.36</v>
      </c>
      <c r="Q88">
        <f t="shared" si="67"/>
        <v>2000</v>
      </c>
    </row>
    <row r="89" spans="1:17">
      <c r="A89" s="131">
        <f t="shared" si="68"/>
        <v>451051.59864762379</v>
      </c>
      <c r="B89">
        <v>8</v>
      </c>
      <c r="D89" s="73">
        <f t="shared" si="58"/>
        <v>-399302.39437010646</v>
      </c>
      <c r="E89" s="73">
        <f t="shared" si="59"/>
        <v>-259208.72479254124</v>
      </c>
      <c r="F89" s="73">
        <f t="shared" si="60"/>
        <v>-89496.427150966818</v>
      </c>
      <c r="G89" s="73">
        <f t="shared" si="69"/>
        <v>-309208.72479254124</v>
      </c>
      <c r="H89" s="27">
        <f t="shared" si="61"/>
        <v>51632.554125557777</v>
      </c>
      <c r="I89" s="74">
        <f t="shared" si="70"/>
        <v>6.8843405500743708</v>
      </c>
      <c r="J89" s="27">
        <f t="shared" si="62"/>
        <v>26</v>
      </c>
      <c r="K89" s="27">
        <f t="shared" si="63"/>
        <v>13</v>
      </c>
      <c r="L89">
        <v>75000</v>
      </c>
      <c r="M89" s="73">
        <v>-30000</v>
      </c>
      <c r="N89">
        <f t="shared" si="64"/>
        <v>50000</v>
      </c>
      <c r="O89" s="72">
        <f t="shared" si="65"/>
        <v>150</v>
      </c>
      <c r="P89">
        <f t="shared" si="66"/>
        <v>1.36</v>
      </c>
      <c r="Q89">
        <f t="shared" si="67"/>
        <v>2000</v>
      </c>
    </row>
    <row r="90" spans="1:17">
      <c r="A90" s="131">
        <f t="shared" si="68"/>
        <v>626430.17416076839</v>
      </c>
      <c r="B90">
        <v>9</v>
      </c>
      <c r="D90" s="73">
        <f t="shared" si="58"/>
        <v>-565771.25634334481</v>
      </c>
      <c r="E90" s="75">
        <f t="shared" si="59"/>
        <v>-380923.8657178561</v>
      </c>
      <c r="F90" s="73">
        <f t="shared" si="60"/>
        <v>-121715.14092531489</v>
      </c>
      <c r="G90" s="73">
        <f t="shared" si="69"/>
        <v>-430923.8657178561</v>
      </c>
      <c r="H90" s="27">
        <f t="shared" si="61"/>
        <v>70220.273610758581</v>
      </c>
      <c r="I90" s="74">
        <f t="shared" si="70"/>
        <v>9.3627031481011453</v>
      </c>
      <c r="J90" s="27">
        <f t="shared" si="62"/>
        <v>26</v>
      </c>
      <c r="K90" s="27">
        <f t="shared" si="63"/>
        <v>13</v>
      </c>
      <c r="L90">
        <v>75000</v>
      </c>
      <c r="M90" s="73">
        <v>-30000</v>
      </c>
      <c r="N90">
        <f t="shared" si="64"/>
        <v>50000</v>
      </c>
      <c r="O90" s="72">
        <f t="shared" si="65"/>
        <v>150</v>
      </c>
      <c r="P90">
        <f t="shared" si="66"/>
        <v>1.36</v>
      </c>
      <c r="Q90">
        <f t="shared" si="67"/>
        <v>2000</v>
      </c>
    </row>
    <row r="91" spans="1:17">
      <c r="A91" s="131">
        <f t="shared" si="68"/>
        <v>864945.03685864503</v>
      </c>
      <c r="B91">
        <v>10</v>
      </c>
      <c r="D91" s="73">
        <f t="shared" si="58"/>
        <v>-792168.90862694907</v>
      </c>
      <c r="E91" s="73">
        <f t="shared" si="59"/>
        <v>-546456.45737628429</v>
      </c>
      <c r="F91" s="73">
        <f t="shared" si="60"/>
        <v>-165532.59165842822</v>
      </c>
      <c r="G91" s="73">
        <f t="shared" si="69"/>
        <v>-596456.45737628429</v>
      </c>
      <c r="H91" s="27">
        <f t="shared" si="61"/>
        <v>95499.572110631692</v>
      </c>
      <c r="I91" s="74">
        <f t="shared" si="70"/>
        <v>12.733276281417558</v>
      </c>
      <c r="J91" s="27">
        <f t="shared" si="62"/>
        <v>26</v>
      </c>
      <c r="K91" s="27">
        <f t="shared" si="63"/>
        <v>13</v>
      </c>
      <c r="L91">
        <v>75000</v>
      </c>
      <c r="M91" s="73">
        <v>-30000</v>
      </c>
      <c r="N91">
        <f t="shared" si="64"/>
        <v>50000</v>
      </c>
      <c r="O91" s="72">
        <f t="shared" si="65"/>
        <v>150</v>
      </c>
      <c r="P91">
        <f t="shared" si="66"/>
        <v>1.36</v>
      </c>
      <c r="Q91">
        <f t="shared" si="67"/>
        <v>2000</v>
      </c>
    </row>
    <row r="92" spans="1:17">
      <c r="A92" s="131">
        <f t="shared" si="68"/>
        <v>1189325.2501277574</v>
      </c>
      <c r="B92">
        <v>11</v>
      </c>
      <c r="D92" s="73">
        <f t="shared" si="58"/>
        <v>-1100069.7157326508</v>
      </c>
      <c r="E92" s="75">
        <f t="shared" si="59"/>
        <v>-771580.78203174681</v>
      </c>
      <c r="F92" s="73">
        <f t="shared" si="60"/>
        <v>-225124.32465546246</v>
      </c>
      <c r="G92" s="73">
        <f t="shared" si="69"/>
        <v>-821580.78203174681</v>
      </c>
      <c r="H92" s="27">
        <f t="shared" si="61"/>
        <v>129879.4180704591</v>
      </c>
      <c r="I92" s="74">
        <f t="shared" si="70"/>
        <v>17.31725574272788</v>
      </c>
      <c r="J92" s="27">
        <f t="shared" si="62"/>
        <v>26</v>
      </c>
      <c r="K92" s="27">
        <f t="shared" si="63"/>
        <v>13</v>
      </c>
      <c r="L92">
        <v>75000</v>
      </c>
      <c r="M92" s="73">
        <v>-30000</v>
      </c>
      <c r="N92">
        <f t="shared" si="64"/>
        <v>50000</v>
      </c>
      <c r="O92" s="72">
        <f t="shared" si="65"/>
        <v>150</v>
      </c>
      <c r="P92">
        <f t="shared" si="66"/>
        <v>1.36</v>
      </c>
      <c r="Q92">
        <f t="shared" si="67"/>
        <v>2000</v>
      </c>
    </row>
    <row r="93" spans="1:17">
      <c r="A93" s="131">
        <f t="shared" si="68"/>
        <v>1630482.3401737502</v>
      </c>
      <c r="B93">
        <v>12</v>
      </c>
      <c r="D93" s="73">
        <f t="shared" si="58"/>
        <v>-1518814.8133964052</v>
      </c>
      <c r="E93" s="73">
        <f t="shared" si="59"/>
        <v>-1077749.8635631758</v>
      </c>
      <c r="F93" s="73">
        <f t="shared" si="60"/>
        <v>-306169.08153142891</v>
      </c>
      <c r="G93" s="73">
        <f t="shared" si="69"/>
        <v>-1127749.8635631758</v>
      </c>
      <c r="H93" s="27">
        <f t="shared" si="61"/>
        <v>176636.00857582438</v>
      </c>
      <c r="I93" s="74">
        <f t="shared" si="70"/>
        <v>23.551467810109919</v>
      </c>
      <c r="J93" s="27">
        <f t="shared" si="62"/>
        <v>26</v>
      </c>
      <c r="K93" s="27">
        <f t="shared" si="63"/>
        <v>13</v>
      </c>
      <c r="L93">
        <v>75000</v>
      </c>
      <c r="M93" s="73">
        <v>-30000</v>
      </c>
      <c r="N93">
        <f t="shared" si="64"/>
        <v>50000</v>
      </c>
      <c r="O93" s="72">
        <f t="shared" si="65"/>
        <v>150</v>
      </c>
      <c r="P93">
        <f t="shared" si="66"/>
        <v>1.36</v>
      </c>
      <c r="Q93">
        <f t="shared" si="67"/>
        <v>2000</v>
      </c>
    </row>
    <row r="94" spans="1:17">
      <c r="A94" s="131">
        <f t="shared" si="68"/>
        <v>2230455.9826363004</v>
      </c>
      <c r="B94">
        <v>13</v>
      </c>
      <c r="D94" s="73">
        <f t="shared" si="58"/>
        <v>-2088308.1462191113</v>
      </c>
      <c r="E94" s="75">
        <f t="shared" si="59"/>
        <v>-1494139.8144459191</v>
      </c>
      <c r="F94" s="73">
        <f t="shared" si="60"/>
        <v>-416389.9508827434</v>
      </c>
      <c r="G94" s="73">
        <f t="shared" si="69"/>
        <v>-1544139.8144459191</v>
      </c>
      <c r="H94" s="27">
        <f t="shared" si="61"/>
        <v>240224.97166312119</v>
      </c>
      <c r="I94" s="74">
        <f t="shared" si="70"/>
        <v>32.029996221749492</v>
      </c>
      <c r="J94" s="27">
        <f t="shared" si="62"/>
        <v>26</v>
      </c>
      <c r="K94" s="27">
        <f t="shared" si="63"/>
        <v>13</v>
      </c>
      <c r="L94">
        <v>75000</v>
      </c>
      <c r="M94" s="73">
        <v>-30000</v>
      </c>
      <c r="N94">
        <f t="shared" si="64"/>
        <v>50000</v>
      </c>
      <c r="O94" s="72">
        <f t="shared" si="65"/>
        <v>150</v>
      </c>
      <c r="P94">
        <f t="shared" si="66"/>
        <v>1.36</v>
      </c>
      <c r="Q94">
        <f t="shared" si="67"/>
        <v>2000</v>
      </c>
    </row>
    <row r="95" spans="1:17">
      <c r="A95" s="131">
        <f t="shared" si="68"/>
        <v>3046420.1363853691</v>
      </c>
      <c r="B95">
        <v>14</v>
      </c>
      <c r="D95" s="73">
        <f t="shared" si="58"/>
        <v>-2862819.0788579918</v>
      </c>
      <c r="E95" s="73">
        <f t="shared" si="59"/>
        <v>-2060430.1476464504</v>
      </c>
      <c r="F95" s="73">
        <f t="shared" si="60"/>
        <v>-566290.33320053108</v>
      </c>
      <c r="G95" s="73">
        <f t="shared" si="69"/>
        <v>-2110430.1476464504</v>
      </c>
      <c r="H95" s="27">
        <f t="shared" si="61"/>
        <v>326705.9614618448</v>
      </c>
      <c r="I95" s="74">
        <f t="shared" si="70"/>
        <v>43.560794861579311</v>
      </c>
      <c r="J95" s="27">
        <f t="shared" si="62"/>
        <v>26</v>
      </c>
      <c r="K95" s="27">
        <f t="shared" si="63"/>
        <v>13</v>
      </c>
      <c r="L95">
        <v>75000</v>
      </c>
      <c r="M95" s="73">
        <v>-30000</v>
      </c>
      <c r="N95">
        <f t="shared" si="64"/>
        <v>50000</v>
      </c>
      <c r="O95" s="72">
        <f t="shared" si="65"/>
        <v>150</v>
      </c>
      <c r="P95">
        <f t="shared" si="66"/>
        <v>1.36</v>
      </c>
      <c r="Q95">
        <f t="shared" si="67"/>
        <v>2000</v>
      </c>
    </row>
    <row r="96" spans="1:17">
      <c r="A96" s="131">
        <f t="shared" si="68"/>
        <v>4156131.3854841022</v>
      </c>
      <c r="B96">
        <v>15</v>
      </c>
      <c r="D96" s="73">
        <f t="shared" si="58"/>
        <v>-3916153.9472468686</v>
      </c>
      <c r="E96" s="75">
        <f t="shared" si="59"/>
        <v>-2830585.0007991726</v>
      </c>
      <c r="F96" s="73">
        <f t="shared" si="60"/>
        <v>-770154.85315272235</v>
      </c>
      <c r="G96" s="73">
        <f t="shared" si="69"/>
        <v>-2880585.0007991726</v>
      </c>
      <c r="H96" s="27">
        <f t="shared" si="61"/>
        <v>444320.10758810904</v>
      </c>
      <c r="I96" s="74">
        <f t="shared" si="70"/>
        <v>59.242681011747869</v>
      </c>
      <c r="J96" s="27">
        <f t="shared" si="62"/>
        <v>26</v>
      </c>
      <c r="K96" s="27">
        <f t="shared" si="63"/>
        <v>13</v>
      </c>
      <c r="L96">
        <v>75000</v>
      </c>
      <c r="M96" s="73">
        <v>-30000</v>
      </c>
      <c r="N96">
        <f t="shared" si="64"/>
        <v>50000</v>
      </c>
      <c r="O96" s="72">
        <f t="shared" si="65"/>
        <v>150</v>
      </c>
      <c r="P96">
        <f t="shared" si="66"/>
        <v>1.36</v>
      </c>
      <c r="Q96">
        <f t="shared" si="67"/>
        <v>2000</v>
      </c>
    </row>
    <row r="97" spans="1:17">
      <c r="A97" s="131">
        <f t="shared" si="68"/>
        <v>5665338.684258379</v>
      </c>
      <c r="B97">
        <v>16</v>
      </c>
      <c r="D97" s="73">
        <f t="shared" si="58"/>
        <v>-5348689.3682557428</v>
      </c>
      <c r="E97" s="73">
        <f t="shared" si="59"/>
        <v>-3877995.601086875</v>
      </c>
      <c r="F97" s="73">
        <f t="shared" si="60"/>
        <v>-1047410.6002877025</v>
      </c>
      <c r="G97" s="73">
        <f t="shared" si="69"/>
        <v>-3927995.601086875</v>
      </c>
      <c r="H97" s="27">
        <f t="shared" si="61"/>
        <v>604275.34631982842</v>
      </c>
      <c r="I97" s="74">
        <f t="shared" si="70"/>
        <v>80.570046175977112</v>
      </c>
      <c r="J97" s="27">
        <f t="shared" si="62"/>
        <v>26</v>
      </c>
      <c r="K97" s="27">
        <f t="shared" si="63"/>
        <v>13</v>
      </c>
      <c r="L97">
        <v>75000</v>
      </c>
      <c r="M97" s="73">
        <v>-30000</v>
      </c>
      <c r="N97">
        <f t="shared" si="64"/>
        <v>50000</v>
      </c>
      <c r="O97" s="72">
        <f t="shared" si="65"/>
        <v>150</v>
      </c>
      <c r="P97">
        <f t="shared" si="66"/>
        <v>1.36</v>
      </c>
      <c r="Q97">
        <f t="shared" si="67"/>
        <v>2000</v>
      </c>
    </row>
    <row r="98" spans="1:17">
      <c r="A98" s="131">
        <f t="shared" si="68"/>
        <v>7717860.6105913967</v>
      </c>
      <c r="B98">
        <v>17</v>
      </c>
      <c r="D98" s="73">
        <f t="shared" si="58"/>
        <v>-7296937.5408278108</v>
      </c>
      <c r="E98" s="75">
        <f t="shared" si="59"/>
        <v>-5302474.0174781503</v>
      </c>
      <c r="F98" s="73">
        <f t="shared" si="60"/>
        <v>-1424478.4163912754</v>
      </c>
      <c r="G98" s="73">
        <f t="shared" si="69"/>
        <v>-5352474.0174781503</v>
      </c>
      <c r="H98" s="27">
        <f t="shared" si="61"/>
        <v>821814.47099496657</v>
      </c>
      <c r="I98" s="74">
        <f t="shared" si="70"/>
        <v>109.57526279932888</v>
      </c>
      <c r="J98" s="27">
        <f t="shared" si="62"/>
        <v>26</v>
      </c>
      <c r="K98" s="27">
        <f t="shared" si="63"/>
        <v>13</v>
      </c>
      <c r="L98">
        <v>75000</v>
      </c>
      <c r="M98" s="73">
        <v>-30000</v>
      </c>
      <c r="N98">
        <f t="shared" si="64"/>
        <v>50000</v>
      </c>
      <c r="O98" s="72">
        <f t="shared" si="65"/>
        <v>150</v>
      </c>
      <c r="P98">
        <f t="shared" si="66"/>
        <v>1.36</v>
      </c>
      <c r="Q98">
        <f t="shared" si="67"/>
        <v>2000</v>
      </c>
    </row>
    <row r="99" spans="1:17">
      <c r="A99" s="131">
        <f t="shared" si="68"/>
        <v>10509290.4304043</v>
      </c>
      <c r="B99">
        <v>18</v>
      </c>
      <c r="D99" s="73">
        <f t="shared" si="58"/>
        <v>-9946555.0555258244</v>
      </c>
      <c r="E99" s="73">
        <f t="shared" si="59"/>
        <v>-7239764.6637702854</v>
      </c>
      <c r="F99" s="73">
        <f t="shared" si="60"/>
        <v>-1937290.6462921351</v>
      </c>
      <c r="G99" s="73">
        <f t="shared" si="69"/>
        <v>-7289764.6637702854</v>
      </c>
      <c r="H99" s="27">
        <f t="shared" si="61"/>
        <v>1117667.6805531548</v>
      </c>
      <c r="I99" s="74">
        <f t="shared" si="70"/>
        <v>149.0223574070873</v>
      </c>
      <c r="J99" s="27">
        <f t="shared" si="62"/>
        <v>26</v>
      </c>
      <c r="K99" s="27">
        <f t="shared" si="63"/>
        <v>13</v>
      </c>
      <c r="L99">
        <v>75000</v>
      </c>
      <c r="M99" s="73">
        <v>-30000</v>
      </c>
      <c r="N99">
        <f t="shared" si="64"/>
        <v>50000</v>
      </c>
      <c r="O99" s="72">
        <f t="shared" si="65"/>
        <v>150</v>
      </c>
      <c r="P99">
        <f t="shared" si="66"/>
        <v>1.36</v>
      </c>
      <c r="Q99">
        <f t="shared" si="67"/>
        <v>2000</v>
      </c>
    </row>
    <row r="100" spans="1:17">
      <c r="A100" s="131">
        <f t="shared" si="68"/>
        <v>14305634.985349849</v>
      </c>
      <c r="B100">
        <v>19</v>
      </c>
      <c r="D100" s="73">
        <f t="shared" si="58"/>
        <v>-13550034.87551512</v>
      </c>
      <c r="E100" s="75">
        <f t="shared" si="59"/>
        <v>-9874479.9427275881</v>
      </c>
      <c r="F100" s="73">
        <f t="shared" si="60"/>
        <v>-2634715.2789573036</v>
      </c>
      <c r="G100" s="73">
        <f t="shared" si="69"/>
        <v>-9924479.9427275881</v>
      </c>
      <c r="H100" s="27">
        <f t="shared" si="61"/>
        <v>1520028.0455522905</v>
      </c>
      <c r="I100" s="74">
        <f t="shared" si="70"/>
        <v>202.67040607363873</v>
      </c>
      <c r="J100" s="27">
        <f t="shared" si="62"/>
        <v>26</v>
      </c>
      <c r="K100" s="27">
        <f t="shared" si="63"/>
        <v>13</v>
      </c>
      <c r="L100">
        <v>75000</v>
      </c>
      <c r="M100" s="73">
        <v>-30000</v>
      </c>
      <c r="N100">
        <f t="shared" si="64"/>
        <v>50000</v>
      </c>
      <c r="O100" s="72">
        <f t="shared" si="65"/>
        <v>150</v>
      </c>
      <c r="P100">
        <f t="shared" si="66"/>
        <v>1.36</v>
      </c>
      <c r="Q100">
        <f t="shared" si="67"/>
        <v>2000</v>
      </c>
    </row>
    <row r="101" spans="1:17">
      <c r="A101" s="131">
        <f t="shared" si="68"/>
        <v>19468663.580075797</v>
      </c>
      <c r="B101">
        <v>20</v>
      </c>
      <c r="D101" s="73">
        <f t="shared" si="58"/>
        <v>-18450767.430700563</v>
      </c>
      <c r="E101" s="73">
        <f t="shared" si="59"/>
        <v>-13457692.722109521</v>
      </c>
      <c r="F101" s="73">
        <f t="shared" si="60"/>
        <v>-3583212.7793819332</v>
      </c>
      <c r="G101" s="73">
        <f t="shared" si="69"/>
        <v>-13507692.722109521</v>
      </c>
      <c r="H101" s="27">
        <f t="shared" si="61"/>
        <v>2067238.1419511151</v>
      </c>
      <c r="I101" s="74">
        <f t="shared" si="70"/>
        <v>275.63175226014869</v>
      </c>
      <c r="J101" s="27">
        <f t="shared" si="62"/>
        <v>26</v>
      </c>
      <c r="K101" s="27">
        <f t="shared" si="63"/>
        <v>13</v>
      </c>
      <c r="L101">
        <v>75000</v>
      </c>
      <c r="M101" s="73">
        <v>-30000</v>
      </c>
      <c r="N101">
        <f t="shared" si="64"/>
        <v>50000</v>
      </c>
      <c r="O101" s="72">
        <f t="shared" si="65"/>
        <v>150</v>
      </c>
      <c r="P101">
        <f t="shared" si="66"/>
        <v>1.36</v>
      </c>
      <c r="Q101">
        <f t="shared" si="67"/>
        <v>2000</v>
      </c>
    </row>
    <row r="102" spans="1:17">
      <c r="A102" s="131">
        <f t="shared" si="68"/>
        <v>26490382.468903083</v>
      </c>
      <c r="B102">
        <v>21</v>
      </c>
      <c r="D102" s="73">
        <f t="shared" si="58"/>
        <v>-25115763.705752768</v>
      </c>
      <c r="E102" s="75">
        <f t="shared" si="59"/>
        <v>-18330862.102068949</v>
      </c>
      <c r="F102" s="73">
        <f t="shared" si="60"/>
        <v>-4873169.3799594287</v>
      </c>
      <c r="G102" s="73">
        <f t="shared" si="69"/>
        <v>-18380862.102068949</v>
      </c>
      <c r="H102" s="27">
        <f t="shared" si="61"/>
        <v>2811443.8730535167</v>
      </c>
      <c r="I102" s="74">
        <f t="shared" si="70"/>
        <v>374.85918307380223</v>
      </c>
      <c r="J102" s="27">
        <f t="shared" si="62"/>
        <v>26</v>
      </c>
      <c r="K102" s="27">
        <f t="shared" si="63"/>
        <v>13</v>
      </c>
      <c r="L102">
        <v>75000</v>
      </c>
      <c r="M102" s="73">
        <v>-30000</v>
      </c>
      <c r="N102">
        <f t="shared" si="64"/>
        <v>50000</v>
      </c>
      <c r="O102" s="72">
        <f t="shared" si="65"/>
        <v>150</v>
      </c>
      <c r="P102">
        <f t="shared" si="66"/>
        <v>1.36</v>
      </c>
      <c r="Q102">
        <f t="shared" si="67"/>
        <v>2000</v>
      </c>
    </row>
    <row r="103" spans="1:17">
      <c r="A103" s="131">
        <f t="shared" si="68"/>
        <v>36039920.157708198</v>
      </c>
      <c r="B103">
        <v>22</v>
      </c>
      <c r="D103" s="73">
        <f t="shared" si="58"/>
        <v>-34180158.639823765</v>
      </c>
      <c r="E103" s="73">
        <f t="shared" si="59"/>
        <v>-24958372.458813772</v>
      </c>
      <c r="F103" s="73">
        <f t="shared" si="60"/>
        <v>-6627510.356744824</v>
      </c>
      <c r="G103" s="73">
        <f t="shared" si="69"/>
        <v>-25008372.458813772</v>
      </c>
      <c r="H103" s="27">
        <f t="shared" si="61"/>
        <v>3823563.667352783</v>
      </c>
      <c r="I103" s="74">
        <f t="shared" si="70"/>
        <v>509.80848898037107</v>
      </c>
      <c r="J103" s="27">
        <f t="shared" si="62"/>
        <v>26</v>
      </c>
      <c r="K103" s="27">
        <f t="shared" si="63"/>
        <v>13</v>
      </c>
      <c r="L103">
        <v>75000</v>
      </c>
      <c r="M103" s="73">
        <v>-30000</v>
      </c>
      <c r="N103">
        <f t="shared" si="64"/>
        <v>50000</v>
      </c>
      <c r="O103" s="72">
        <f t="shared" si="65"/>
        <v>150</v>
      </c>
      <c r="P103">
        <f t="shared" si="66"/>
        <v>1.36</v>
      </c>
      <c r="Q103">
        <f t="shared" si="67"/>
        <v>2000</v>
      </c>
    </row>
    <row r="104" spans="1:17">
      <c r="A104" s="131">
        <f t="shared" si="68"/>
        <v>49027291.414483145</v>
      </c>
      <c r="B104">
        <v>23</v>
      </c>
      <c r="D104" s="73">
        <f t="shared" si="58"/>
        <v>-46507735.750160322</v>
      </c>
      <c r="E104" s="75">
        <f t="shared" si="59"/>
        <v>-33971786.54398673</v>
      </c>
      <c r="F104" s="73">
        <f t="shared" si="60"/>
        <v>-9013414.0851729605</v>
      </c>
      <c r="G104" s="73">
        <f t="shared" si="69"/>
        <v>-34021786.54398673</v>
      </c>
      <c r="H104" s="27">
        <f t="shared" si="61"/>
        <v>5200046.5875997851</v>
      </c>
      <c r="I104" s="74">
        <f t="shared" si="70"/>
        <v>693.3395450133047</v>
      </c>
      <c r="J104" s="27">
        <f t="shared" si="62"/>
        <v>26</v>
      </c>
      <c r="K104" s="27">
        <f t="shared" si="63"/>
        <v>13</v>
      </c>
      <c r="L104">
        <v>75000</v>
      </c>
      <c r="M104" s="73">
        <v>-30000</v>
      </c>
      <c r="N104">
        <f t="shared" si="64"/>
        <v>50000</v>
      </c>
      <c r="O104" s="72">
        <f t="shared" si="65"/>
        <v>150</v>
      </c>
      <c r="P104">
        <f t="shared" si="66"/>
        <v>1.36</v>
      </c>
      <c r="Q104">
        <f t="shared" si="67"/>
        <v>2000</v>
      </c>
    </row>
    <row r="105" spans="1:17">
      <c r="A105" s="131">
        <f t="shared" si="68"/>
        <v>66690116.323697083</v>
      </c>
      <c r="B105">
        <v>24</v>
      </c>
      <c r="D105" s="73">
        <f t="shared" si="58"/>
        <v>-63273240.620218039</v>
      </c>
      <c r="E105" s="73">
        <f t="shared" si="59"/>
        <v>-46230029.699821956</v>
      </c>
      <c r="F105" s="73">
        <f t="shared" si="60"/>
        <v>-12258243.155835228</v>
      </c>
      <c r="G105" s="73">
        <f t="shared" si="69"/>
        <v>-46280029.699821956</v>
      </c>
      <c r="H105" s="27">
        <f t="shared" si="61"/>
        <v>7072063.3591357078</v>
      </c>
      <c r="I105" s="74">
        <f t="shared" si="70"/>
        <v>942.94178121809443</v>
      </c>
      <c r="J105" s="27">
        <f t="shared" si="62"/>
        <v>26</v>
      </c>
      <c r="K105" s="27">
        <f t="shared" si="63"/>
        <v>13</v>
      </c>
      <c r="L105">
        <v>75000</v>
      </c>
      <c r="M105" s="73">
        <v>-30000</v>
      </c>
      <c r="N105">
        <f t="shared" si="64"/>
        <v>50000</v>
      </c>
      <c r="O105" s="72">
        <f t="shared" si="65"/>
        <v>150</v>
      </c>
      <c r="P105">
        <f t="shared" si="66"/>
        <v>1.36</v>
      </c>
      <c r="Q105">
        <f t="shared" si="67"/>
        <v>2000</v>
      </c>
    </row>
    <row r="106" spans="1:17">
      <c r="A106" s="131">
        <f t="shared" si="68"/>
        <v>90711558.20022805</v>
      </c>
      <c r="B106">
        <v>25</v>
      </c>
      <c r="D106" s="73">
        <f t="shared" si="58"/>
        <v>-86074327.243496552</v>
      </c>
      <c r="E106" s="75">
        <f t="shared" si="59"/>
        <v>-62901240.391757868</v>
      </c>
      <c r="F106" s="73">
        <f t="shared" si="60"/>
        <v>-16671210.691935912</v>
      </c>
      <c r="G106" s="73">
        <f t="shared" si="69"/>
        <v>-62951240.391757868</v>
      </c>
      <c r="H106" s="27">
        <f t="shared" si="61"/>
        <v>9618006.1684245635</v>
      </c>
      <c r="I106" s="74">
        <f t="shared" si="70"/>
        <v>1282.4008224566085</v>
      </c>
      <c r="J106" s="27">
        <f t="shared" si="62"/>
        <v>26</v>
      </c>
      <c r="K106" s="27">
        <f t="shared" si="63"/>
        <v>13</v>
      </c>
      <c r="L106">
        <v>75000</v>
      </c>
      <c r="M106" s="73">
        <v>-30000</v>
      </c>
      <c r="N106">
        <f t="shared" si="64"/>
        <v>50000</v>
      </c>
      <c r="O106" s="72">
        <f t="shared" si="65"/>
        <v>150</v>
      </c>
      <c r="P106">
        <f t="shared" si="66"/>
        <v>1.36</v>
      </c>
      <c r="Q106">
        <f t="shared" si="67"/>
        <v>2000</v>
      </c>
    </row>
    <row r="107" spans="1:17">
      <c r="A107" s="131">
        <f t="shared" si="68"/>
        <v>123380719.15231016</v>
      </c>
      <c r="B107">
        <v>26</v>
      </c>
      <c r="D107" s="73">
        <f t="shared" si="58"/>
        <v>-117083805.0511553</v>
      </c>
      <c r="E107" s="73">
        <f t="shared" si="59"/>
        <v>-85574086.932790712</v>
      </c>
      <c r="F107" s="73">
        <f t="shared" si="60"/>
        <v>-22672846.54103284</v>
      </c>
      <c r="G107" s="73">
        <f t="shared" si="69"/>
        <v>-85624086.932790712</v>
      </c>
      <c r="H107" s="27">
        <f t="shared" si="61"/>
        <v>13080488.389057407</v>
      </c>
      <c r="I107" s="74">
        <f t="shared" si="70"/>
        <v>1744.0651185409877</v>
      </c>
      <c r="J107" s="27">
        <f t="shared" si="62"/>
        <v>26</v>
      </c>
      <c r="K107" s="27">
        <f t="shared" si="63"/>
        <v>13</v>
      </c>
      <c r="L107">
        <v>75000</v>
      </c>
      <c r="M107" s="73">
        <v>-30000</v>
      </c>
      <c r="N107">
        <f t="shared" si="64"/>
        <v>50000</v>
      </c>
      <c r="O107" s="72">
        <f t="shared" si="65"/>
        <v>150</v>
      </c>
      <c r="P107">
        <f t="shared" si="66"/>
        <v>1.36</v>
      </c>
      <c r="Q107">
        <f t="shared" si="67"/>
        <v>2000</v>
      </c>
    </row>
    <row r="108" spans="1:17">
      <c r="A108" s="131">
        <f t="shared" si="68"/>
        <v>167810778.04714179</v>
      </c>
      <c r="B108">
        <v>27</v>
      </c>
      <c r="D108" s="73">
        <f t="shared" si="58"/>
        <v>-159256694.86957124</v>
      </c>
      <c r="E108" s="75">
        <f t="shared" si="59"/>
        <v>-116409158.22859538</v>
      </c>
      <c r="F108" s="73">
        <f t="shared" si="60"/>
        <v>-30835071.295804664</v>
      </c>
      <c r="G108" s="73">
        <f t="shared" si="69"/>
        <v>-116459158.22859538</v>
      </c>
      <c r="H108" s="27">
        <f t="shared" si="61"/>
        <v>17789464.209118072</v>
      </c>
      <c r="I108" s="74">
        <f t="shared" si="70"/>
        <v>2371.9285612157432</v>
      </c>
      <c r="J108" s="27">
        <f t="shared" si="62"/>
        <v>26</v>
      </c>
      <c r="K108" s="27">
        <f t="shared" si="63"/>
        <v>13</v>
      </c>
      <c r="L108">
        <v>75000</v>
      </c>
      <c r="M108" s="73">
        <v>-30000</v>
      </c>
      <c r="N108">
        <f t="shared" si="64"/>
        <v>50000</v>
      </c>
      <c r="O108" s="72">
        <f t="shared" si="65"/>
        <v>150</v>
      </c>
      <c r="P108">
        <f t="shared" si="66"/>
        <v>1.36</v>
      </c>
      <c r="Q108">
        <f t="shared" si="67"/>
        <v>2000</v>
      </c>
    </row>
    <row r="109" spans="1:17">
      <c r="A109" s="131">
        <f t="shared" si="68"/>
        <v>228235658.14411286</v>
      </c>
      <c r="B109">
        <v>28</v>
      </c>
      <c r="D109" s="73">
        <f t="shared" si="58"/>
        <v>-216611825.02261689</v>
      </c>
      <c r="E109" s="73">
        <f t="shared" si="59"/>
        <v>-158344855.19088972</v>
      </c>
      <c r="F109" s="73">
        <f t="shared" si="60"/>
        <v>-41935696.96229434</v>
      </c>
      <c r="G109" s="73">
        <f t="shared" si="69"/>
        <v>-158394855.19088972</v>
      </c>
      <c r="H109" s="27">
        <f t="shared" si="61"/>
        <v>24193671.324400581</v>
      </c>
      <c r="I109" s="74">
        <f t="shared" si="70"/>
        <v>3225.8228432534111</v>
      </c>
      <c r="J109" s="27">
        <f t="shared" si="62"/>
        <v>26</v>
      </c>
      <c r="K109" s="27">
        <f t="shared" si="63"/>
        <v>13</v>
      </c>
      <c r="L109">
        <v>75000</v>
      </c>
      <c r="M109" s="73">
        <v>-30000</v>
      </c>
      <c r="N109">
        <f t="shared" si="64"/>
        <v>50000</v>
      </c>
      <c r="O109" s="72">
        <f t="shared" si="65"/>
        <v>150</v>
      </c>
      <c r="P109">
        <f t="shared" si="66"/>
        <v>1.36</v>
      </c>
      <c r="Q109">
        <f t="shared" si="67"/>
        <v>2000</v>
      </c>
    </row>
    <row r="110" spans="1:17">
      <c r="A110" s="131">
        <f t="shared" si="68"/>
        <v>310413495.07599348</v>
      </c>
      <c r="B110">
        <v>29</v>
      </c>
      <c r="D110" s="73">
        <f t="shared" si="58"/>
        <v>-294614802.03075898</v>
      </c>
      <c r="E110" s="75">
        <f t="shared" si="59"/>
        <v>-215377403.05961001</v>
      </c>
      <c r="F110" s="73">
        <f t="shared" si="60"/>
        <v>-57032547.868720308</v>
      </c>
      <c r="G110" s="73">
        <f t="shared" si="69"/>
        <v>-215427403.05961001</v>
      </c>
      <c r="H110" s="27">
        <f t="shared" si="61"/>
        <v>32903393.001184791</v>
      </c>
      <c r="I110" s="74">
        <f t="shared" si="70"/>
        <v>4387.119066824639</v>
      </c>
      <c r="J110" s="27">
        <f t="shared" si="62"/>
        <v>26</v>
      </c>
      <c r="K110" s="27">
        <f t="shared" si="63"/>
        <v>13</v>
      </c>
      <c r="L110">
        <v>75000</v>
      </c>
      <c r="M110" s="73">
        <v>-30000</v>
      </c>
      <c r="N110">
        <f t="shared" si="64"/>
        <v>50000</v>
      </c>
      <c r="O110" s="72">
        <f t="shared" si="65"/>
        <v>150</v>
      </c>
      <c r="P110">
        <f t="shared" si="66"/>
        <v>1.36</v>
      </c>
      <c r="Q110">
        <f t="shared" si="67"/>
        <v>2000</v>
      </c>
    </row>
    <row r="111" spans="1:17">
      <c r="A111" s="131">
        <f t="shared" si="68"/>
        <v>422175353.30335116</v>
      </c>
      <c r="B111">
        <v>30</v>
      </c>
      <c r="D111" s="73">
        <f t="shared" si="58"/>
        <v>-400698850.76183224</v>
      </c>
      <c r="E111" s="73">
        <f t="shared" si="59"/>
        <v>-292941668.16106963</v>
      </c>
      <c r="F111" s="73">
        <f t="shared" si="60"/>
        <v>-77564265.101459622</v>
      </c>
      <c r="G111" s="73">
        <f t="shared" si="69"/>
        <v>-292991668.16106963</v>
      </c>
      <c r="H111" s="27">
        <f t="shared" si="61"/>
        <v>44748614.481611319</v>
      </c>
      <c r="I111" s="74">
        <f t="shared" si="70"/>
        <v>5966.4819308815095</v>
      </c>
      <c r="J111" s="27">
        <f t="shared" si="62"/>
        <v>26</v>
      </c>
      <c r="K111" s="27">
        <f t="shared" si="63"/>
        <v>13</v>
      </c>
      <c r="L111">
        <v>75000</v>
      </c>
      <c r="M111" s="73">
        <v>-30000</v>
      </c>
      <c r="N111">
        <f t="shared" si="64"/>
        <v>50000</v>
      </c>
      <c r="O111" s="72">
        <f t="shared" si="65"/>
        <v>150</v>
      </c>
      <c r="P111">
        <f t="shared" si="66"/>
        <v>1.36</v>
      </c>
      <c r="Q111">
        <f t="shared" si="67"/>
        <v>2000</v>
      </c>
    </row>
  </sheetData>
  <protectedRanges>
    <protectedRange sqref="J3" name="範囲1"/>
  </protectedRanges>
  <mergeCells count="1">
    <mergeCell ref="B81:C81"/>
  </mergeCells>
  <phoneticPr fontId="1"/>
  <conditionalFormatting sqref="D1:D1048576">
    <cfRule type="containsBlanks" dxfId="5" priority="5">
      <formula>LEN(TRIM(D1))=0</formula>
    </cfRule>
    <cfRule type="cellIs" dxfId="4" priority="6" operator="lessThanOrEqual">
      <formula>0</formula>
    </cfRule>
  </conditionalFormatting>
  <conditionalFormatting sqref="E6:E111">
    <cfRule type="cellIs" dxfId="3" priority="1" operator="lessThan">
      <formula>$H$2*0.2</formula>
    </cfRule>
  </conditionalFormatting>
  <conditionalFormatting sqref="G6:G111">
    <cfRule type="cellIs" dxfId="2" priority="2" operator="lessThan">
      <formula>$H$2*-0.8</formula>
    </cfRule>
  </conditionalFormatting>
  <conditionalFormatting sqref="G7 G11 G16 G22 G29 G37 G46 G56 G67 G79">
    <cfRule type="cellIs" dxfId="1" priority="4" operator="lessThanOrEqual">
      <formula>0</formula>
    </cfRule>
  </conditionalFormatting>
  <conditionalFormatting sqref="I6:I111">
    <cfRule type="cellIs" dxfId="0" priority="3" operator="greaterThan">
      <formula>60</formula>
    </cfRule>
  </conditionalFormatting>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D569-C8DE-4AC1-AFE3-7C80CB6ABBE0}">
  <dimension ref="A1:F15"/>
  <sheetViews>
    <sheetView workbookViewId="0">
      <selection activeCell="F16" sqref="F16"/>
    </sheetView>
  </sheetViews>
  <sheetFormatPr defaultRowHeight="18"/>
  <cols>
    <col min="1" max="1" width="22.09765625" bestFit="1" customWidth="1"/>
    <col min="2" max="2" width="10.3984375" bestFit="1" customWidth="1"/>
    <col min="5" max="5" width="46.09765625" bestFit="1" customWidth="1"/>
    <col min="6" max="6" width="12.3984375" bestFit="1" customWidth="1"/>
  </cols>
  <sheetData>
    <row r="1" spans="1:6" s="181" customFormat="1">
      <c r="A1" s="181" t="s">
        <v>225</v>
      </c>
      <c r="B1" s="181" t="s">
        <v>226</v>
      </c>
      <c r="C1" s="181" t="s">
        <v>187</v>
      </c>
      <c r="D1" s="181" t="s">
        <v>65</v>
      </c>
      <c r="E1" s="181" t="s">
        <v>279</v>
      </c>
      <c r="F1" s="181" t="s">
        <v>341</v>
      </c>
    </row>
    <row r="2" spans="1:6">
      <c r="A2" t="s">
        <v>214</v>
      </c>
      <c r="B2">
        <v>50000</v>
      </c>
      <c r="C2">
        <v>15</v>
      </c>
      <c r="D2">
        <v>1.36</v>
      </c>
      <c r="E2" t="s">
        <v>309</v>
      </c>
      <c r="F2" s="216">
        <v>0.72</v>
      </c>
    </row>
    <row r="3" spans="1:6">
      <c r="A3" t="s">
        <v>215</v>
      </c>
      <c r="B3">
        <v>90000</v>
      </c>
      <c r="C3">
        <v>15</v>
      </c>
      <c r="D3">
        <v>1.42</v>
      </c>
      <c r="E3" t="s">
        <v>292</v>
      </c>
      <c r="F3" s="216">
        <v>0.67</v>
      </c>
    </row>
    <row r="4" spans="1:6">
      <c r="A4" t="s">
        <v>216</v>
      </c>
      <c r="B4">
        <v>180000</v>
      </c>
      <c r="C4">
        <v>15</v>
      </c>
      <c r="D4">
        <v>1.51</v>
      </c>
      <c r="E4" t="s">
        <v>293</v>
      </c>
      <c r="F4" s="216">
        <v>0.67</v>
      </c>
    </row>
    <row r="5" spans="1:6">
      <c r="A5" t="s">
        <v>218</v>
      </c>
      <c r="B5">
        <v>260000</v>
      </c>
      <c r="C5">
        <v>15</v>
      </c>
      <c r="D5">
        <v>1.55</v>
      </c>
      <c r="E5" t="s">
        <v>294</v>
      </c>
      <c r="F5" s="216">
        <v>0.65</v>
      </c>
    </row>
    <row r="6" spans="1:6">
      <c r="A6" t="s">
        <v>220</v>
      </c>
      <c r="B6">
        <v>410000</v>
      </c>
      <c r="C6">
        <v>15</v>
      </c>
      <c r="D6">
        <v>1.6080000000000001</v>
      </c>
      <c r="E6" t="s">
        <v>295</v>
      </c>
      <c r="F6" s="216">
        <v>0.65</v>
      </c>
    </row>
    <row r="7" spans="1:6">
      <c r="A7" t="s">
        <v>223</v>
      </c>
      <c r="B7">
        <v>1300000</v>
      </c>
      <c r="C7">
        <v>15</v>
      </c>
      <c r="D7">
        <v>1.76</v>
      </c>
      <c r="E7" t="s">
        <v>281</v>
      </c>
      <c r="F7" s="216">
        <v>0.63</v>
      </c>
    </row>
    <row r="8" spans="1:6">
      <c r="A8" t="s">
        <v>235</v>
      </c>
      <c r="B8">
        <v>500000</v>
      </c>
      <c r="C8">
        <v>17</v>
      </c>
      <c r="D8">
        <v>1.53</v>
      </c>
      <c r="E8" t="s">
        <v>283</v>
      </c>
      <c r="F8" s="216">
        <v>0.68</v>
      </c>
    </row>
    <row r="9" spans="1:6">
      <c r="A9" t="s">
        <v>308</v>
      </c>
      <c r="B9">
        <v>90000</v>
      </c>
      <c r="C9">
        <v>17</v>
      </c>
      <c r="D9">
        <v>1.36</v>
      </c>
      <c r="E9" t="s">
        <v>292</v>
      </c>
      <c r="F9" s="216">
        <v>0.74</v>
      </c>
    </row>
    <row r="10" spans="1:6">
      <c r="A10" t="s">
        <v>307</v>
      </c>
      <c r="B10">
        <v>180000</v>
      </c>
      <c r="C10">
        <v>17</v>
      </c>
      <c r="D10">
        <v>1.42</v>
      </c>
      <c r="E10" t="s">
        <v>310</v>
      </c>
      <c r="F10" s="216">
        <v>0.67</v>
      </c>
    </row>
    <row r="11" spans="1:6">
      <c r="A11" t="s">
        <v>217</v>
      </c>
      <c r="B11">
        <v>400000</v>
      </c>
      <c r="C11">
        <v>17</v>
      </c>
      <c r="D11">
        <v>1.51</v>
      </c>
      <c r="E11" t="s">
        <v>321</v>
      </c>
      <c r="F11" s="216">
        <v>0.7</v>
      </c>
    </row>
    <row r="12" spans="1:6">
      <c r="A12" t="s">
        <v>219</v>
      </c>
      <c r="B12">
        <v>600000</v>
      </c>
      <c r="C12">
        <v>17</v>
      </c>
      <c r="D12">
        <v>1.55</v>
      </c>
      <c r="E12" t="s">
        <v>320</v>
      </c>
      <c r="F12" s="216">
        <v>0.67</v>
      </c>
    </row>
    <row r="13" spans="1:6">
      <c r="A13" t="s">
        <v>221</v>
      </c>
      <c r="B13">
        <v>1000000</v>
      </c>
      <c r="C13">
        <v>17</v>
      </c>
      <c r="D13">
        <v>1.6080000000000001</v>
      </c>
      <c r="E13" t="s">
        <v>329</v>
      </c>
      <c r="F13" s="216">
        <v>0.69</v>
      </c>
    </row>
    <row r="14" spans="1:6">
      <c r="A14" t="s">
        <v>224</v>
      </c>
      <c r="B14">
        <v>2300000</v>
      </c>
      <c r="C14">
        <v>16</v>
      </c>
      <c r="D14">
        <v>1.76</v>
      </c>
      <c r="E14" t="s">
        <v>282</v>
      </c>
      <c r="F14" s="216">
        <v>0.63</v>
      </c>
    </row>
    <row r="15" spans="1:6">
      <c r="A15" t="s">
        <v>236</v>
      </c>
      <c r="B15">
        <v>1800000</v>
      </c>
      <c r="C15">
        <v>20</v>
      </c>
      <c r="D15">
        <v>1.53</v>
      </c>
      <c r="E15" t="s">
        <v>284</v>
      </c>
      <c r="F15" s="216">
        <v>0.67</v>
      </c>
    </row>
  </sheetData>
  <phoneticPr fontId="1"/>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0BD3-2072-41DB-8889-E153C881B5C6}">
  <sheetPr>
    <tabColor rgb="FF7030A0"/>
  </sheetPr>
  <dimension ref="B2:AA44"/>
  <sheetViews>
    <sheetView topLeftCell="A26" workbookViewId="0">
      <selection activeCell="B37" sqref="B37:L37"/>
    </sheetView>
  </sheetViews>
  <sheetFormatPr defaultRowHeight="18"/>
  <cols>
    <col min="3" max="3" width="16.296875" style="107" bestFit="1" customWidth="1"/>
    <col min="4" max="4" width="13.5" style="108" bestFit="1" customWidth="1"/>
    <col min="5" max="5" width="12.3984375" bestFit="1" customWidth="1"/>
    <col min="6" max="6" width="10.8984375" style="101" bestFit="1" customWidth="1"/>
    <col min="7" max="7" width="12.59765625" style="74" bestFit="1" customWidth="1"/>
    <col min="8" max="8" width="10.8984375" style="101" bestFit="1" customWidth="1"/>
    <col min="9" max="9" width="12.3984375" style="74" bestFit="1" customWidth="1"/>
    <col min="10" max="10" width="10.8984375" style="111" bestFit="1" customWidth="1"/>
    <col min="11" max="11" width="12.3984375" style="72" bestFit="1" customWidth="1"/>
    <col min="12" max="12" width="10.8984375" style="72" customWidth="1"/>
    <col min="14" max="14" width="0" hidden="1" customWidth="1"/>
    <col min="15" max="15" width="20.19921875" hidden="1" customWidth="1"/>
    <col min="16" max="16" width="10.796875" hidden="1" customWidth="1"/>
    <col min="17" max="18" width="0" hidden="1" customWidth="1"/>
    <col min="19" max="19" width="9.69921875" hidden="1" customWidth="1"/>
    <col min="20" max="21" width="0" hidden="1" customWidth="1"/>
    <col min="22" max="22" width="9.69921875" hidden="1" customWidth="1"/>
    <col min="23" max="23" width="10.796875" hidden="1" customWidth="1"/>
    <col min="24" max="25" width="0" hidden="1" customWidth="1"/>
  </cols>
  <sheetData>
    <row r="2" spans="2:27">
      <c r="B2" s="282" t="s">
        <v>343</v>
      </c>
      <c r="C2" s="282"/>
      <c r="D2" s="281" t="s">
        <v>214</v>
      </c>
      <c r="E2" s="281"/>
    </row>
    <row r="3" spans="2:27">
      <c r="B3" s="282" t="s">
        <v>344</v>
      </c>
      <c r="C3" s="282"/>
      <c r="D3" s="281">
        <v>55000</v>
      </c>
      <c r="E3" s="281"/>
    </row>
    <row r="4" spans="2:27">
      <c r="B4" s="283" t="s">
        <v>345</v>
      </c>
      <c r="C4" s="283"/>
      <c r="D4" s="284">
        <f>IF(D2="","",VLOOKUP($D2,推奨設定一覧!A2:E15,2,FALSE))</f>
        <v>50000</v>
      </c>
      <c r="E4" s="284"/>
    </row>
    <row r="6" spans="2:27" ht="30" customHeight="1">
      <c r="B6" s="286" t="s">
        <v>23</v>
      </c>
      <c r="C6" s="286"/>
      <c r="D6" s="286"/>
      <c r="E6" s="201">
        <f>0.01+ROUNDDOWN((D3-D4)/D4*0.01,4)</f>
        <v>1.0999999999999999E-2</v>
      </c>
      <c r="G6" s="288" t="s">
        <v>175</v>
      </c>
      <c r="H6" s="288"/>
      <c r="I6" s="288"/>
      <c r="J6" s="288"/>
      <c r="K6" s="288"/>
      <c r="L6" s="288"/>
      <c r="M6" s="288"/>
      <c r="N6" s="288"/>
      <c r="O6" s="288"/>
      <c r="P6" s="288"/>
      <c r="Q6" s="288"/>
      <c r="R6" s="288"/>
      <c r="S6" s="288"/>
      <c r="T6" s="288"/>
      <c r="U6" s="288"/>
      <c r="V6" s="288"/>
      <c r="W6" s="288"/>
      <c r="X6" s="288"/>
      <c r="Y6" s="288"/>
      <c r="Z6" s="288"/>
      <c r="AA6" s="288"/>
    </row>
    <row r="7" spans="2:27" ht="30" customHeight="1">
      <c r="B7" s="286" t="s">
        <v>21</v>
      </c>
      <c r="C7" s="286"/>
      <c r="D7" s="286"/>
      <c r="E7" s="201">
        <f>IF(D2="","",VLOOKUP($D2,推奨設定一覧!A2:D15,4,FALSE))</f>
        <v>1.36</v>
      </c>
      <c r="G7" s="287" t="s">
        <v>346</v>
      </c>
      <c r="H7" s="287"/>
      <c r="I7" s="287"/>
      <c r="J7" s="287"/>
      <c r="K7" s="287"/>
      <c r="L7" s="287"/>
      <c r="M7" s="287"/>
      <c r="N7" s="287"/>
      <c r="O7" s="287"/>
      <c r="P7" s="287"/>
      <c r="Q7" s="287"/>
      <c r="R7" s="287"/>
      <c r="S7" s="287"/>
      <c r="T7" s="287"/>
      <c r="U7" s="287"/>
      <c r="V7" s="287"/>
      <c r="W7" s="287"/>
      <c r="X7" s="287"/>
      <c r="Y7" s="287"/>
      <c r="Z7" s="287"/>
      <c r="AA7" s="287"/>
    </row>
    <row r="9" spans="2:27" ht="18" customHeight="1">
      <c r="B9" s="25"/>
      <c r="E9" s="113" t="s">
        <v>163</v>
      </c>
      <c r="F9" s="109"/>
      <c r="G9" s="113" t="s">
        <v>163</v>
      </c>
      <c r="H9" s="109"/>
      <c r="I9" s="114" t="s">
        <v>163</v>
      </c>
      <c r="J9" s="112"/>
      <c r="K9" s="114" t="s">
        <v>163</v>
      </c>
      <c r="L9" s="110"/>
      <c r="O9" s="12"/>
    </row>
    <row r="10" spans="2:27">
      <c r="B10" s="18"/>
      <c r="C10" s="113" t="s">
        <v>342</v>
      </c>
      <c r="D10" s="115" t="s">
        <v>14</v>
      </c>
      <c r="E10" s="117" t="s">
        <v>164</v>
      </c>
      <c r="F10" s="118" t="s">
        <v>165</v>
      </c>
      <c r="G10" s="119" t="s">
        <v>160</v>
      </c>
      <c r="H10" s="120" t="s">
        <v>165</v>
      </c>
      <c r="I10" s="121" t="s">
        <v>166</v>
      </c>
      <c r="J10" s="122" t="s">
        <v>165</v>
      </c>
      <c r="K10" s="123" t="s">
        <v>167</v>
      </c>
      <c r="L10" s="124" t="s">
        <v>165</v>
      </c>
      <c r="Q10" s="291" t="s">
        <v>23</v>
      </c>
      <c r="R10" s="291"/>
      <c r="S10" s="291"/>
      <c r="T10" s="16">
        <f>E6</f>
        <v>1.0999999999999999E-2</v>
      </c>
    </row>
    <row r="11" spans="2:27">
      <c r="B11" s="18" t="s">
        <v>159</v>
      </c>
      <c r="C11" s="113">
        <f>T10*T11^5</f>
        <v>5.1178461593600018E-2</v>
      </c>
      <c r="D11" s="116">
        <f>(T10+T10*T11+T10*T11^2+T10*T11^3+T10*T11^4+T10*T11^5)*13*-1000</f>
        <v>-2116.2088915968002</v>
      </c>
      <c r="E11" s="117">
        <f>C11*E7</f>
        <v>6.9602707767296032E-2</v>
      </c>
      <c r="F11" s="118">
        <f>(D11/-1000)/E11</f>
        <v>30.404117303481339</v>
      </c>
      <c r="G11" s="119">
        <f>C11*2</f>
        <v>0.10235692318720004</v>
      </c>
      <c r="H11" s="120">
        <f>(D11/-1000)/G11</f>
        <v>20.674799766367311</v>
      </c>
      <c r="I11" s="121">
        <f>C11*2.5</f>
        <v>0.12794615398400006</v>
      </c>
      <c r="J11" s="122">
        <f>(D11/-1000)/I11</f>
        <v>16.539839813093849</v>
      </c>
      <c r="K11" s="123">
        <f>C11*3</f>
        <v>0.15353538478080006</v>
      </c>
      <c r="L11" s="124">
        <f>(D11/-1000)/K11</f>
        <v>13.783199844244875</v>
      </c>
      <c r="O11" t="s">
        <v>24</v>
      </c>
      <c r="Q11" s="292" t="s">
        <v>21</v>
      </c>
      <c r="R11" s="292"/>
      <c r="S11" s="292"/>
      <c r="T11" s="16">
        <f>E7</f>
        <v>1.36</v>
      </c>
      <c r="Y11" s="285"/>
      <c r="Z11" s="285"/>
    </row>
    <row r="12" spans="2:27">
      <c r="B12" s="18" t="s">
        <v>161</v>
      </c>
      <c r="C12" s="113">
        <f>T10*T11^6</f>
        <v>6.9602707767296032E-2</v>
      </c>
      <c r="D12" s="116">
        <f>(T10+T10*T11+T10*T11^2+T10*T11^3+T10*T11^4+T10*T11^5+T10*T11^6)*13*-1000</f>
        <v>-3021.0440925716489</v>
      </c>
      <c r="E12" s="117">
        <f>C12*E7</f>
        <v>9.4659682563522612E-2</v>
      </c>
      <c r="F12" s="118">
        <f>(D12/-1000)/E12</f>
        <v>31.914792134912748</v>
      </c>
      <c r="G12" s="119">
        <f>C12*2</f>
        <v>0.13920541553459206</v>
      </c>
      <c r="H12" s="120">
        <f>(D12/-1000)/G12</f>
        <v>21.702058651740671</v>
      </c>
      <c r="I12" s="121">
        <f>C12*2.5</f>
        <v>0.17400676941824009</v>
      </c>
      <c r="J12" s="122">
        <f>(D12/-1000)/I12</f>
        <v>17.361646921392534</v>
      </c>
      <c r="K12" s="123">
        <f>C12*3</f>
        <v>0.20880812330188808</v>
      </c>
      <c r="L12" s="124">
        <f t="shared" ref="L12:L26" si="0">(D12/-1000)/K12</f>
        <v>14.468039101160448</v>
      </c>
      <c r="O12" s="1" t="s">
        <v>20</v>
      </c>
      <c r="P12" s="2" t="s">
        <v>14</v>
      </c>
      <c r="Q12" s="2" t="s">
        <v>16</v>
      </c>
      <c r="R12" s="2" t="s">
        <v>17</v>
      </c>
      <c r="S12" s="2" t="s">
        <v>19</v>
      </c>
      <c r="T12" s="2"/>
      <c r="U12" s="2" t="s">
        <v>15</v>
      </c>
      <c r="V12" s="2" t="s">
        <v>18</v>
      </c>
      <c r="W12" s="3" t="s">
        <v>19</v>
      </c>
    </row>
    <row r="13" spans="2:27">
      <c r="B13" s="18" t="s">
        <v>12</v>
      </c>
      <c r="C13" s="113">
        <f>T10*T11^7</f>
        <v>9.4659682563522626E-2</v>
      </c>
      <c r="D13" s="116">
        <f>(T10+T10*T11+T10*T11^2+T10*T11^3+T10*T11^4+T10*T11^5+T10*T11^6+T10*T11^7)*13*-1000</f>
        <v>-4251.6199658974438</v>
      </c>
      <c r="E13" s="117">
        <f>C13*E7</f>
        <v>0.12873716828639079</v>
      </c>
      <c r="F13" s="118">
        <f t="shared" ref="F13:F27" si="1">(D13/-1000)/E13</f>
        <v>33.025582452141727</v>
      </c>
      <c r="G13" s="119">
        <f t="shared" ref="G13:G27" si="2">C13*2</f>
        <v>0.18931936512704525</v>
      </c>
      <c r="H13" s="120">
        <f t="shared" ref="H13:H27" si="3">(D13/-1000)/G13</f>
        <v>22.457396067456376</v>
      </c>
      <c r="I13" s="121">
        <f t="shared" ref="I13:I27" si="4">C13*2.5</f>
        <v>0.23664920640880657</v>
      </c>
      <c r="J13" s="122">
        <f t="shared" ref="J13:J27" si="5">(D13/-1000)/I13</f>
        <v>17.965916853965098</v>
      </c>
      <c r="K13" s="123">
        <f t="shared" ref="K13:K27" si="6">C13*3</f>
        <v>0.28397904769056787</v>
      </c>
      <c r="L13" s="124">
        <f t="shared" si="0"/>
        <v>14.971597378304251</v>
      </c>
      <c r="O13" s="4">
        <f>T10*T11^14*2</f>
        <v>1.6291737278230669</v>
      </c>
      <c r="P13" s="5">
        <f>(T10+T10*T11+T10*T11^2+T10*T11^3+T10*T11^4+T10*T11^5+T10*T11^6+T10*T11^7+T10*T11^8+T10*T11^9+T10*T11^10+T10*T11^11+T10*T11^12+T10*T11^13+T10*T11^14)*13*-1000</f>
        <v>-39608.043760988628</v>
      </c>
      <c r="Q13" s="6">
        <v>3</v>
      </c>
      <c r="R13" s="103">
        <f>O13*Q13*1000</f>
        <v>4887.5211834692</v>
      </c>
      <c r="S13" s="5">
        <f>P13+R13</f>
        <v>-34720.522577519427</v>
      </c>
      <c r="T13" s="6"/>
      <c r="U13" s="6">
        <v>3.5</v>
      </c>
      <c r="V13" s="5">
        <f t="shared" ref="V13:V21" si="7">U13*O13*-1000</f>
        <v>-5702.1080473807342</v>
      </c>
      <c r="W13" s="104">
        <f>P13+V13</f>
        <v>-45310.151808369366</v>
      </c>
    </row>
    <row r="14" spans="2:27">
      <c r="B14" s="18" t="s">
        <v>13</v>
      </c>
      <c r="C14" s="113">
        <f>T10*T11^8</f>
        <v>0.12873716828639076</v>
      </c>
      <c r="D14" s="116">
        <f>(T10+T10*T11+T10*T11^2+T10*T11^3+T10*T11^4+T10*T11^5+T10*T11^6+T10*T11^7+T10*T11^8)*13*-1000</f>
        <v>-5925.2031536205232</v>
      </c>
      <c r="E14" s="117">
        <f>C14*E7</f>
        <v>0.17508254886949146</v>
      </c>
      <c r="F14" s="118">
        <f t="shared" si="1"/>
        <v>33.842340038339501</v>
      </c>
      <c r="G14" s="119">
        <f t="shared" si="2"/>
        <v>0.25747433657278151</v>
      </c>
      <c r="H14" s="120">
        <f t="shared" si="3"/>
        <v>23.012791226070863</v>
      </c>
      <c r="I14" s="121">
        <f>C14*2.5</f>
        <v>0.32184292071597687</v>
      </c>
      <c r="J14" s="122">
        <f t="shared" si="5"/>
        <v>18.410232980856694</v>
      </c>
      <c r="K14" s="123">
        <f t="shared" si="6"/>
        <v>0.38621150485917227</v>
      </c>
      <c r="L14" s="124">
        <f t="shared" si="0"/>
        <v>15.341860817380576</v>
      </c>
      <c r="O14" s="4">
        <f>O13</f>
        <v>1.6291737278230669</v>
      </c>
      <c r="P14" s="5">
        <f>P13</f>
        <v>-39608.043760988628</v>
      </c>
      <c r="Q14" s="6">
        <v>6</v>
      </c>
      <c r="R14" s="103">
        <f t="shared" ref="R14:R20" si="8">O14*Q14*1000</f>
        <v>9775.0423669383999</v>
      </c>
      <c r="S14" s="5">
        <f t="shared" ref="S14:S21" si="9">P14+R14</f>
        <v>-29833.001394050229</v>
      </c>
      <c r="T14" s="6"/>
      <c r="U14" s="6">
        <v>5</v>
      </c>
      <c r="V14" s="5">
        <f t="shared" si="7"/>
        <v>-8145.8686391153351</v>
      </c>
      <c r="W14" s="104">
        <f t="shared" ref="W14:W21" si="10">P14+V14</f>
        <v>-47753.91240010396</v>
      </c>
    </row>
    <row r="15" spans="2:27">
      <c r="B15" s="18" t="s">
        <v>11</v>
      </c>
      <c r="C15" s="113">
        <f>T10*T11^9</f>
        <v>0.17508254886949146</v>
      </c>
      <c r="D15" s="116">
        <f>(T10+T10*T11+T10*T11^2+T10*T11^3+T10*T11^4+T10*T11^5+T10*T11^6+T10*T11^7+T10*T11^8+T10*T11^9)*13*-1000</f>
        <v>-8201.2762889239129</v>
      </c>
      <c r="E15" s="117">
        <f>C15*E7</f>
        <v>0.23811226646250841</v>
      </c>
      <c r="F15" s="118">
        <f t="shared" si="1"/>
        <v>34.442897087014337</v>
      </c>
      <c r="G15" s="119">
        <f t="shared" si="2"/>
        <v>0.35016509773898291</v>
      </c>
      <c r="H15" s="120">
        <f t="shared" si="3"/>
        <v>23.42117001916975</v>
      </c>
      <c r="I15" s="121">
        <f t="shared" si="4"/>
        <v>0.43770637217372865</v>
      </c>
      <c r="J15" s="122">
        <f t="shared" si="5"/>
        <v>18.7369360153358</v>
      </c>
      <c r="K15" s="123">
        <f t="shared" si="6"/>
        <v>0.52524764660847434</v>
      </c>
      <c r="L15" s="124">
        <f t="shared" si="0"/>
        <v>15.614113346113168</v>
      </c>
      <c r="O15" s="4">
        <f t="shared" ref="O15:P21" si="11">O14</f>
        <v>1.6291737278230669</v>
      </c>
      <c r="P15" s="5">
        <f>P14</f>
        <v>-39608.043760988628</v>
      </c>
      <c r="Q15" s="6">
        <v>9</v>
      </c>
      <c r="R15" s="103">
        <f t="shared" si="8"/>
        <v>14662.563550407602</v>
      </c>
      <c r="S15" s="5">
        <f t="shared" si="9"/>
        <v>-24945.480210581027</v>
      </c>
      <c r="T15" s="6"/>
      <c r="U15" s="6">
        <v>6</v>
      </c>
      <c r="V15" s="5">
        <f t="shared" si="7"/>
        <v>-9775.0423669383999</v>
      </c>
      <c r="W15" s="104">
        <f t="shared" si="10"/>
        <v>-49383.086127927032</v>
      </c>
    </row>
    <row r="16" spans="2:27">
      <c r="B16" s="18" t="s">
        <v>33</v>
      </c>
      <c r="C16" s="113">
        <f>T10*T11^10</f>
        <v>0.23811226646250841</v>
      </c>
      <c r="D16" s="116">
        <f>(T10+T10*T11+T10*T11^2+T10*T11^3+T10*T11^4+T10*T11^5+T10*T11^6+T10*T11^7+T10*T11^8+T10*T11^9+T10*T11^10)*13*-1000</f>
        <v>-11296.735752936522</v>
      </c>
      <c r="E16" s="117">
        <f>C16*E7</f>
        <v>0.32383268238901147</v>
      </c>
      <c r="F16" s="118">
        <f t="shared" si="1"/>
        <v>34.884483152216418</v>
      </c>
      <c r="G16" s="119">
        <f t="shared" si="2"/>
        <v>0.47622453292501682</v>
      </c>
      <c r="H16" s="120">
        <f t="shared" si="3"/>
        <v>23.721448543507169</v>
      </c>
      <c r="I16" s="121">
        <f t="shared" si="4"/>
        <v>0.59528066615627107</v>
      </c>
      <c r="J16" s="122">
        <f t="shared" si="5"/>
        <v>18.977158834805735</v>
      </c>
      <c r="K16" s="123">
        <f t="shared" si="6"/>
        <v>0.71433679938752526</v>
      </c>
      <c r="L16" s="124">
        <f t="shared" si="0"/>
        <v>15.814299029004779</v>
      </c>
      <c r="O16" s="4">
        <f t="shared" si="11"/>
        <v>1.6291737278230669</v>
      </c>
      <c r="P16" s="5">
        <f t="shared" si="11"/>
        <v>-39608.043760988628</v>
      </c>
      <c r="Q16" s="6">
        <v>12</v>
      </c>
      <c r="R16" s="103">
        <f t="shared" si="8"/>
        <v>19550.0847338768</v>
      </c>
      <c r="S16" s="5">
        <f t="shared" si="9"/>
        <v>-20057.959027111829</v>
      </c>
      <c r="T16" s="6"/>
      <c r="U16" s="6">
        <v>7</v>
      </c>
      <c r="V16" s="5">
        <f t="shared" si="7"/>
        <v>-11404.216094761468</v>
      </c>
      <c r="W16" s="104">
        <f t="shared" si="10"/>
        <v>-51012.259855750097</v>
      </c>
    </row>
    <row r="17" spans="2:23">
      <c r="B17" s="18" t="s">
        <v>34</v>
      </c>
      <c r="C17" s="113">
        <f>T10*T11^11</f>
        <v>0.32383268238901147</v>
      </c>
      <c r="D17" s="116">
        <f>(T10+T10*T11+T10*T11^2+T10*T11^3+T10*T11^4+T10*T11^5+T10*T11^6+T10*T11^7+T10*T11^8+T10*T11^9+T10*T11^10+T10*T11^11)*13*-1000</f>
        <v>-15506.560623993671</v>
      </c>
      <c r="E17" s="117">
        <f>C17*E7</f>
        <v>0.44041244804905566</v>
      </c>
      <c r="F17" s="118">
        <f t="shared" si="1"/>
        <v>35.209178788394425</v>
      </c>
      <c r="G17" s="119">
        <f t="shared" si="2"/>
        <v>0.64766536477802295</v>
      </c>
      <c r="H17" s="120">
        <f t="shared" si="3"/>
        <v>23.942241576108209</v>
      </c>
      <c r="I17" s="121">
        <f t="shared" si="4"/>
        <v>0.80958170597252865</v>
      </c>
      <c r="J17" s="122">
        <f t="shared" si="5"/>
        <v>19.15379326088657</v>
      </c>
      <c r="K17" s="123">
        <f t="shared" si="6"/>
        <v>0.97149804716703447</v>
      </c>
      <c r="L17" s="124">
        <f t="shared" si="0"/>
        <v>15.961494384072139</v>
      </c>
      <c r="O17" s="4">
        <f t="shared" si="11"/>
        <v>1.6291737278230669</v>
      </c>
      <c r="P17" s="5">
        <f t="shared" si="11"/>
        <v>-39608.043760988628</v>
      </c>
      <c r="Q17" s="6">
        <v>15</v>
      </c>
      <c r="R17" s="103">
        <f t="shared" si="8"/>
        <v>24437.605917346005</v>
      </c>
      <c r="S17" s="5">
        <f t="shared" si="9"/>
        <v>-15170.437843642623</v>
      </c>
      <c r="T17" s="6"/>
      <c r="U17" s="6">
        <v>8</v>
      </c>
      <c r="V17" s="5">
        <f t="shared" si="7"/>
        <v>-13033.389822584535</v>
      </c>
      <c r="W17" s="104">
        <f t="shared" si="10"/>
        <v>-52641.433583573162</v>
      </c>
    </row>
    <row r="18" spans="2:23">
      <c r="B18" s="18" t="s">
        <v>35</v>
      </c>
      <c r="C18" s="113">
        <f>T10*T11^12</f>
        <v>0.4404124480490556</v>
      </c>
      <c r="D18" s="116">
        <f>(T10+T10*T11+T10*T11^2+T10*T11^3+T10*T11^4+T10*T11^5+T10*T11^6+T10*T11^7+T10*T11^8+T10*T11^9+T10*T11^10+T10*T11^11+T10*T11^12)*13*-1000</f>
        <v>-21231.922448631394</v>
      </c>
      <c r="E18" s="117">
        <f>C18*E7</f>
        <v>0.59896092934671563</v>
      </c>
      <c r="F18" s="118">
        <f t="shared" si="1"/>
        <v>35.447925579701781</v>
      </c>
      <c r="G18" s="119">
        <f t="shared" si="2"/>
        <v>0.88082489609811121</v>
      </c>
      <c r="H18" s="120">
        <f t="shared" si="3"/>
        <v>24.104589394197212</v>
      </c>
      <c r="I18" s="121">
        <f t="shared" si="4"/>
        <v>1.101031120122639</v>
      </c>
      <c r="J18" s="122">
        <f t="shared" si="5"/>
        <v>19.283671515357771</v>
      </c>
      <c r="K18" s="123">
        <f t="shared" si="6"/>
        <v>1.3212373441471668</v>
      </c>
      <c r="L18" s="124">
        <f t="shared" si="0"/>
        <v>16.069726262798142</v>
      </c>
      <c r="O18" s="4">
        <f t="shared" si="11"/>
        <v>1.6291737278230669</v>
      </c>
      <c r="P18" s="5">
        <f t="shared" si="11"/>
        <v>-39608.043760988628</v>
      </c>
      <c r="Q18" s="6">
        <v>18</v>
      </c>
      <c r="R18" s="103">
        <f t="shared" si="8"/>
        <v>29325.127100815203</v>
      </c>
      <c r="S18" s="5">
        <f t="shared" si="9"/>
        <v>-10282.916660173425</v>
      </c>
      <c r="T18" s="6"/>
      <c r="U18" s="6">
        <v>9</v>
      </c>
      <c r="V18" s="5">
        <f t="shared" si="7"/>
        <v>-14662.563550407602</v>
      </c>
      <c r="W18" s="104">
        <f t="shared" si="10"/>
        <v>-54270.607311396234</v>
      </c>
    </row>
    <row r="19" spans="2:23">
      <c r="B19" s="18" t="s">
        <v>36</v>
      </c>
      <c r="C19" s="113">
        <f>T10*T11^13</f>
        <v>0.59896092934671563</v>
      </c>
      <c r="D19" s="116">
        <f>(T10+T10*T11+T10*T11^2+T10*T11^3+T10*T11^4+T10*T11^5+T10*T11^6+T10*T11^7+T10*T11^8+T10*T11^9+T10*T11^10+T10*T11^11+T10*T11^12+T10*T11^13)*13*-1000</f>
        <v>-29018.4145301387</v>
      </c>
      <c r="E19" s="117">
        <f>C19*E7</f>
        <v>0.81458686391153334</v>
      </c>
      <c r="F19" s="118">
        <f t="shared" si="1"/>
        <v>35.623474690957195</v>
      </c>
      <c r="G19" s="119">
        <f t="shared" si="2"/>
        <v>1.1979218586934313</v>
      </c>
      <c r="H19" s="120">
        <f t="shared" si="3"/>
        <v>24.223962789850894</v>
      </c>
      <c r="I19" s="121">
        <f t="shared" si="4"/>
        <v>1.497402323366789</v>
      </c>
      <c r="J19" s="122">
        <f t="shared" si="5"/>
        <v>19.379170231880714</v>
      </c>
      <c r="K19" s="123">
        <f t="shared" si="6"/>
        <v>1.796882788040147</v>
      </c>
      <c r="L19" s="124">
        <f t="shared" si="0"/>
        <v>16.14930852656726</v>
      </c>
      <c r="O19" s="4">
        <f t="shared" si="11"/>
        <v>1.6291737278230669</v>
      </c>
      <c r="P19" s="5">
        <f t="shared" si="11"/>
        <v>-39608.043760988628</v>
      </c>
      <c r="Q19" s="6">
        <v>21</v>
      </c>
      <c r="R19" s="103">
        <f t="shared" si="8"/>
        <v>34212.648284284405</v>
      </c>
      <c r="S19" s="5">
        <f t="shared" si="9"/>
        <v>-5395.3954767042233</v>
      </c>
      <c r="T19" s="6"/>
      <c r="U19" s="6">
        <v>10</v>
      </c>
      <c r="V19" s="5">
        <f t="shared" si="7"/>
        <v>-16291.73727823067</v>
      </c>
      <c r="W19" s="104">
        <f t="shared" si="10"/>
        <v>-55899.781039219299</v>
      </c>
    </row>
    <row r="20" spans="2:23">
      <c r="B20" s="18" t="s">
        <v>37</v>
      </c>
      <c r="C20" s="113">
        <f>T10*T11^14</f>
        <v>0.81458686391153345</v>
      </c>
      <c r="D20" s="116">
        <f>(T10+T10*T11+T10*T11^2+T10*T11^3+T10*T11^4+T10*T11^5+T10*T11^6+T10*T11^7+T10*T11^8+T10*T11^9+T10*T11^10+T10*T11^11+T10*T11^12+T10*T11^13+T10*T11^14)*13*-1000</f>
        <v>-39608.043760988628</v>
      </c>
      <c r="E20" s="117">
        <f>C20*E7</f>
        <v>1.1078381349196855</v>
      </c>
      <c r="F20" s="118">
        <f t="shared" si="1"/>
        <v>35.752554919821456</v>
      </c>
      <c r="G20" s="119">
        <f t="shared" si="2"/>
        <v>1.6291737278230669</v>
      </c>
      <c r="H20" s="120">
        <f t="shared" si="3"/>
        <v>24.311737345478591</v>
      </c>
      <c r="I20" s="121">
        <f t="shared" si="4"/>
        <v>2.0364671597788337</v>
      </c>
      <c r="J20" s="122">
        <f t="shared" si="5"/>
        <v>19.44938987638287</v>
      </c>
      <c r="K20" s="123">
        <f t="shared" si="6"/>
        <v>2.4437605917346001</v>
      </c>
      <c r="L20" s="124">
        <f t="shared" si="0"/>
        <v>16.207824896985727</v>
      </c>
      <c r="O20" s="4">
        <f t="shared" si="11"/>
        <v>1.6291737278230669</v>
      </c>
      <c r="P20" s="5">
        <f t="shared" si="11"/>
        <v>-39608.043760988628</v>
      </c>
      <c r="Q20" s="6">
        <v>24</v>
      </c>
      <c r="R20" s="103">
        <f t="shared" si="8"/>
        <v>39100.1694677536</v>
      </c>
      <c r="S20" s="5">
        <f t="shared" si="9"/>
        <v>-507.87429323502874</v>
      </c>
      <c r="T20" s="6"/>
      <c r="U20" s="6">
        <v>11</v>
      </c>
      <c r="V20" s="5">
        <f t="shared" si="7"/>
        <v>-17920.911006053735</v>
      </c>
      <c r="W20" s="104">
        <f t="shared" si="10"/>
        <v>-57528.954767042364</v>
      </c>
    </row>
    <row r="21" spans="2:23">
      <c r="B21" s="18" t="s">
        <v>38</v>
      </c>
      <c r="C21" s="113">
        <f>T10*T11^15</f>
        <v>1.1078381349196857</v>
      </c>
      <c r="D21" s="116">
        <f>(T10+T10*T11+T10*T11^2+T10*T11^3+T10*T11^4+T10*T11^5+T10*T11^6+T10*T11^7+T10*T11^8+T10*T11^9+T10*T11^10+T10*T11^11+T10*T11^12+T10*T11^13+T10*T11^14+T10*T11^15)*13*-1000</f>
        <v>-54009.939514944548</v>
      </c>
      <c r="E21" s="117">
        <f>C21*E7</f>
        <v>1.5066598634907726</v>
      </c>
      <c r="F21" s="118">
        <f t="shared" si="1"/>
        <v>35.847466852809895</v>
      </c>
      <c r="G21" s="119">
        <f t="shared" si="2"/>
        <v>2.2156762698393715</v>
      </c>
      <c r="H21" s="120">
        <f t="shared" si="3"/>
        <v>24.376277459910728</v>
      </c>
      <c r="I21" s="121">
        <f t="shared" si="4"/>
        <v>2.7695953372992141</v>
      </c>
      <c r="J21" s="122">
        <f t="shared" si="5"/>
        <v>19.501021967928583</v>
      </c>
      <c r="K21" s="123">
        <f t="shared" si="6"/>
        <v>3.3235144047590572</v>
      </c>
      <c r="L21" s="124">
        <f t="shared" si="0"/>
        <v>16.250851639940485</v>
      </c>
      <c r="O21" s="7">
        <f t="shared" si="11"/>
        <v>1.6291737278230669</v>
      </c>
      <c r="P21" s="8">
        <f t="shared" si="11"/>
        <v>-39608.043760988628</v>
      </c>
      <c r="Q21" s="6">
        <v>27</v>
      </c>
      <c r="R21" s="10">
        <f>O21*Q21*1000</f>
        <v>43987.690651222809</v>
      </c>
      <c r="S21" s="8">
        <f t="shared" si="9"/>
        <v>4379.6468902341803</v>
      </c>
      <c r="T21" s="9"/>
      <c r="U21" s="9">
        <v>12</v>
      </c>
      <c r="V21" s="8">
        <f t="shared" si="7"/>
        <v>-19550.0847338768</v>
      </c>
      <c r="W21" s="11">
        <f t="shared" si="10"/>
        <v>-59158.128494865428</v>
      </c>
    </row>
    <row r="22" spans="2:23">
      <c r="B22" s="18" t="s">
        <v>53</v>
      </c>
      <c r="C22" s="113">
        <f>T10*T11^16</f>
        <v>1.5066598634907724</v>
      </c>
      <c r="D22" s="116">
        <f>(T10+T10*T11+T10*T11^2+T10*T11^3+T10*T11^4+T10*T11^5+T10*T11^6+T10*T11^7+T10*T11^8+T10*T11^9+T10*T11^10+T10*T11^11+T10*T11^12+T10*T11^13+T10*T11^14+T10*T11^15+T10*T11^16)*13*-1000</f>
        <v>-73596.517740324591</v>
      </c>
      <c r="E22" s="117">
        <f>C22*E7</f>
        <v>2.0490574143474505</v>
      </c>
      <c r="F22" s="118">
        <f t="shared" si="1"/>
        <v>35.917255038830803</v>
      </c>
      <c r="G22" s="119">
        <f t="shared" si="2"/>
        <v>3.0133197269815448</v>
      </c>
      <c r="H22" s="120">
        <f t="shared" si="3"/>
        <v>24.423733426404947</v>
      </c>
      <c r="I22" s="121">
        <f t="shared" si="4"/>
        <v>3.7666496587269309</v>
      </c>
      <c r="J22" s="122">
        <f t="shared" si="5"/>
        <v>19.53898674112396</v>
      </c>
      <c r="K22" s="123">
        <f t="shared" si="6"/>
        <v>4.5199795904723175</v>
      </c>
      <c r="L22" s="124">
        <f t="shared" si="0"/>
        <v>16.282488950936632</v>
      </c>
      <c r="R22" t="s">
        <v>22</v>
      </c>
    </row>
    <row r="23" spans="2:23">
      <c r="B23" s="18" t="s">
        <v>54</v>
      </c>
      <c r="C23" s="113">
        <f>T10*T11^17</f>
        <v>2.0490574143474505</v>
      </c>
      <c r="D23" s="116">
        <f>(T10+T10*T11+T10*T11^2+T10*T11^3+T10*T11^4+T10*T11^5+T10*T11^6+T10*T11^7+T10*T11^8+T10*T11^9+T10*T11^10+T10*T11^11+T10*T11^12+T10*T11^13+T10*T11^14+T10*T11^15+T10*T11^16+T10*T11^17)*13*-1000</f>
        <v>-100234.26412684146</v>
      </c>
      <c r="E23" s="117">
        <f>C23*E7</f>
        <v>2.7867180835125329</v>
      </c>
      <c r="F23" s="118">
        <f t="shared" si="1"/>
        <v>35.968569881493238</v>
      </c>
      <c r="G23" s="119">
        <f t="shared" si="2"/>
        <v>4.098114828694901</v>
      </c>
      <c r="H23" s="120">
        <f t="shared" si="3"/>
        <v>24.458627519415405</v>
      </c>
      <c r="I23" s="121">
        <f t="shared" si="4"/>
        <v>5.122643535868626</v>
      </c>
      <c r="J23" s="122">
        <f t="shared" si="5"/>
        <v>19.566902015532325</v>
      </c>
      <c r="K23" s="123">
        <f t="shared" si="6"/>
        <v>6.1471722430423519</v>
      </c>
      <c r="L23" s="124">
        <f t="shared" si="0"/>
        <v>16.305751679610268</v>
      </c>
      <c r="O23" t="s">
        <v>66</v>
      </c>
      <c r="P23" s="74">
        <f>T10*T11^14</f>
        <v>0.81458686391153345</v>
      </c>
    </row>
    <row r="24" spans="2:23">
      <c r="B24" s="18" t="s">
        <v>55</v>
      </c>
      <c r="C24" s="113">
        <f>T10*T11^18</f>
        <v>2.7867180835125334</v>
      </c>
      <c r="D24" s="116">
        <f>(T10+T10*T11+T10*T11^2+T10*T11^3+T10*T11^4+T10*T11^5+T10*T11^6+T10*T11^7+T10*T11^8+T10*T11^9+T10*T11^10+T10*T11^11+T10*T11^12+T10*T11^13+T10*T11^14+T10*T11^15+T10*T11^16+T10*T11^17+T10*T11^18)*13*-1000</f>
        <v>-136461.59921250437</v>
      </c>
      <c r="E24" s="117">
        <f>C24*E7</f>
        <v>3.7899365935770457</v>
      </c>
      <c r="F24" s="118">
        <f t="shared" si="1"/>
        <v>36.006301383450904</v>
      </c>
      <c r="G24" s="119">
        <f t="shared" si="2"/>
        <v>5.5734361670250667</v>
      </c>
      <c r="H24" s="120">
        <f t="shared" si="3"/>
        <v>24.484284940746615</v>
      </c>
      <c r="I24" s="121">
        <f t="shared" si="4"/>
        <v>6.966795208781333</v>
      </c>
      <c r="J24" s="122">
        <f t="shared" si="5"/>
        <v>19.587427952597295</v>
      </c>
      <c r="K24" s="123">
        <f t="shared" si="6"/>
        <v>8.360154250537601</v>
      </c>
      <c r="L24" s="124">
        <f t="shared" si="0"/>
        <v>16.322856627164409</v>
      </c>
      <c r="O24" s="16" t="s">
        <v>43</v>
      </c>
      <c r="P24" s="16">
        <v>500000</v>
      </c>
    </row>
    <row r="25" spans="2:23">
      <c r="B25" s="18" t="s">
        <v>56</v>
      </c>
      <c r="C25" s="113">
        <f>T10*T11^19</f>
        <v>3.7899365935770453</v>
      </c>
      <c r="D25" s="116">
        <f>(T10+T10*T11+T10*T11^2+T10*T11^3+T10*T11^4+T10*T11^5+T10*T11^6+T10*T11^7+T10*T11^8+T10*T11^9+T10*T11^10+T10*T11^11+T10*T11^12+T10*T11^13+T10*T11^14+T10*T11^15+T10*T11^16+T10*T11^17+T10*T11^18+T10*T11^19)*13*-1000</f>
        <v>-185730.77492900597</v>
      </c>
      <c r="E25" s="117">
        <f>C25*E7</f>
        <v>5.1543137672647816</v>
      </c>
      <c r="F25" s="118">
        <f t="shared" si="1"/>
        <v>36.03404513489037</v>
      </c>
      <c r="G25" s="119">
        <f t="shared" si="2"/>
        <v>7.5798731871540905</v>
      </c>
      <c r="H25" s="120">
        <f t="shared" si="3"/>
        <v>24.503150691725455</v>
      </c>
      <c r="I25" s="121">
        <f t="shared" si="4"/>
        <v>9.4748414839426136</v>
      </c>
      <c r="J25" s="122">
        <f t="shared" si="5"/>
        <v>19.602520553380362</v>
      </c>
      <c r="K25" s="123">
        <f t="shared" si="6"/>
        <v>11.369809780731135</v>
      </c>
      <c r="L25" s="124">
        <f t="shared" si="0"/>
        <v>16.335433794483638</v>
      </c>
      <c r="O25" t="s">
        <v>190</v>
      </c>
      <c r="P25" s="17">
        <f>-P18/P24</f>
        <v>7.9216087521977258E-2</v>
      </c>
    </row>
    <row r="26" spans="2:23">
      <c r="B26" s="18" t="s">
        <v>57</v>
      </c>
      <c r="C26" s="113">
        <f>T10*T11^20</f>
        <v>5.1543137672647816</v>
      </c>
      <c r="D26" s="116">
        <f>(T10+T10*T11+T10*T11^2+T10*T11^3+T10*T11^4+T10*T11^5+T10*T11^6+T10*T11^7+T10*T11^8+T10*T11^9+T10*T11^10+T10*T11^11+T10*T11^12+T10*T11^13+T10*T11^14+T10*T11^15+T10*T11^16+T10*T11^17+T10*T11^18+T10*T11^19+T10*T11^20)*13*-1000</f>
        <v>-252736.85390344815</v>
      </c>
      <c r="E26" s="117">
        <f>C26*E7</f>
        <v>7.0098667234801031</v>
      </c>
      <c r="F26" s="118">
        <f t="shared" si="1"/>
        <v>36.054444952125273</v>
      </c>
      <c r="G26" s="119">
        <f t="shared" si="2"/>
        <v>10.308627534529563</v>
      </c>
      <c r="H26" s="120">
        <f t="shared" si="3"/>
        <v>24.517022567445188</v>
      </c>
      <c r="I26" s="121">
        <f t="shared" si="4"/>
        <v>12.885784418161954</v>
      </c>
      <c r="J26" s="122">
        <f t="shared" si="5"/>
        <v>19.613618053956149</v>
      </c>
      <c r="K26" s="123">
        <f t="shared" si="6"/>
        <v>15.462941301794345</v>
      </c>
      <c r="L26" s="124">
        <f t="shared" si="0"/>
        <v>16.344681711630127</v>
      </c>
    </row>
    <row r="27" spans="2:23">
      <c r="B27" s="18" t="s">
        <v>162</v>
      </c>
      <c r="C27" s="113">
        <f>T10*T11^21</f>
        <v>7.009866723480104</v>
      </c>
      <c r="D27" s="116">
        <f>(T10+T10*T11+T10*T11^2+T10*T11^3+T10*T11^4+T10*T11^5+T10*T11^6+T10*T11^7+T10*T11^8+T10*T11^9+T10*T11^10+T10*T11^11+T10*T11^12+T10*T11^13+T10*T11^14+T10*T11^15+T10*T11^16+T10*T11^17+T10*T11^18+T10*T11^19+T10*T11^20+T10*T11^21)*13*-1000</f>
        <v>-343865.12130868947</v>
      </c>
      <c r="E27" s="117">
        <f>C27*E7</f>
        <v>9.533418743932943</v>
      </c>
      <c r="F27" s="118">
        <f t="shared" si="1"/>
        <v>36.069444817739161</v>
      </c>
      <c r="G27" s="119">
        <f t="shared" si="2"/>
        <v>14.019733446960208</v>
      </c>
      <c r="H27" s="120">
        <f t="shared" si="3"/>
        <v>24.527222476062633</v>
      </c>
      <c r="I27" s="121">
        <f t="shared" si="4"/>
        <v>17.52466680870026</v>
      </c>
      <c r="J27" s="122">
        <f t="shared" si="5"/>
        <v>19.621777980850108</v>
      </c>
      <c r="K27" s="123">
        <f t="shared" si="6"/>
        <v>21.029600170440311</v>
      </c>
      <c r="L27" s="124">
        <f>(D27/-1000)/K27</f>
        <v>16.351481650708422</v>
      </c>
      <c r="O27" s="14"/>
    </row>
    <row r="28" spans="2:23">
      <c r="O28" s="15"/>
    </row>
    <row r="29" spans="2:23" ht="18.600000000000001" thickBot="1">
      <c r="B29" s="249" t="s">
        <v>176</v>
      </c>
      <c r="C29" s="249"/>
      <c r="D29" s="249"/>
      <c r="E29" s="249"/>
      <c r="F29" s="249"/>
      <c r="O29" s="15"/>
    </row>
    <row r="30" spans="2:23" ht="19.2" thickTop="1" thickBot="1">
      <c r="B30" s="289">
        <v>4.62</v>
      </c>
      <c r="C30" s="290"/>
      <c r="D30" s="125" t="s">
        <v>177</v>
      </c>
      <c r="E30" s="289">
        <v>20</v>
      </c>
      <c r="F30" s="290"/>
      <c r="G30" s="126" t="s">
        <v>184</v>
      </c>
      <c r="H30" s="293">
        <f>B30*100000*E30/100</f>
        <v>92400</v>
      </c>
      <c r="I30" s="294"/>
      <c r="J30" s="295" t="s">
        <v>180</v>
      </c>
      <c r="K30" s="295"/>
      <c r="O30" s="15"/>
    </row>
    <row r="31" spans="2:23" ht="18.600000000000001" thickTop="1">
      <c r="B31" s="276" t="s">
        <v>178</v>
      </c>
      <c r="C31" s="276"/>
      <c r="E31" s="276" t="s">
        <v>179</v>
      </c>
      <c r="F31" s="276"/>
      <c r="O31" s="15"/>
    </row>
    <row r="32" spans="2:23">
      <c r="E32" s="296" t="s">
        <v>183</v>
      </c>
      <c r="F32" s="296"/>
      <c r="G32" s="296"/>
      <c r="O32" s="15"/>
    </row>
    <row r="33" spans="2:15">
      <c r="B33" s="278" t="s">
        <v>182</v>
      </c>
      <c r="C33" s="278"/>
      <c r="O33" s="15"/>
    </row>
    <row r="34" spans="2:15">
      <c r="B34" s="297" t="s">
        <v>347</v>
      </c>
      <c r="C34" s="297"/>
      <c r="D34" s="297"/>
      <c r="E34" s="297"/>
      <c r="F34" s="297"/>
      <c r="G34" s="297"/>
      <c r="O34" s="15"/>
    </row>
    <row r="35" spans="2:15">
      <c r="B35" s="220" t="s">
        <v>168</v>
      </c>
      <c r="C35" s="220"/>
      <c r="D35" s="220"/>
      <c r="E35" s="220"/>
      <c r="F35" s="220"/>
      <c r="G35" s="220"/>
      <c r="H35" s="220"/>
      <c r="I35" s="220"/>
      <c r="J35" s="220"/>
      <c r="K35" s="220"/>
      <c r="L35" s="220"/>
      <c r="O35" s="15"/>
    </row>
    <row r="36" spans="2:15">
      <c r="B36" s="220" t="s">
        <v>169</v>
      </c>
      <c r="C36" s="220"/>
      <c r="D36" s="220"/>
      <c r="E36" s="220"/>
      <c r="F36" s="220"/>
      <c r="G36" s="220"/>
      <c r="H36" s="220"/>
      <c r="I36" s="220"/>
      <c r="O36" s="15"/>
    </row>
    <row r="37" spans="2:15">
      <c r="B37" s="220" t="s">
        <v>170</v>
      </c>
      <c r="C37" s="220"/>
      <c r="D37" s="220"/>
      <c r="E37" s="220"/>
      <c r="F37" s="220"/>
      <c r="G37" s="220"/>
      <c r="H37" s="220"/>
      <c r="I37" s="220"/>
      <c r="J37" s="220"/>
      <c r="K37" s="220"/>
      <c r="L37" s="220"/>
    </row>
    <row r="38" spans="2:15">
      <c r="B38" s="286" t="s">
        <v>181</v>
      </c>
      <c r="C38" s="286"/>
      <c r="D38" s="286"/>
      <c r="E38" s="286"/>
      <c r="F38" s="286"/>
      <c r="G38" s="286"/>
      <c r="H38" s="286"/>
      <c r="I38" s="286"/>
      <c r="J38" s="286"/>
    </row>
    <row r="39" spans="2:15">
      <c r="B39" s="220" t="s">
        <v>171</v>
      </c>
      <c r="C39" s="220"/>
      <c r="D39" s="220"/>
      <c r="E39" s="220"/>
      <c r="F39" s="220"/>
      <c r="G39" s="220"/>
      <c r="H39" s="220"/>
      <c r="I39" s="220"/>
      <c r="J39" s="220"/>
    </row>
    <row r="40" spans="2:15">
      <c r="B40" s="220" t="s">
        <v>172</v>
      </c>
      <c r="C40" s="220"/>
      <c r="D40" s="220"/>
      <c r="E40" s="220"/>
      <c r="F40" s="220"/>
      <c r="G40" s="220"/>
      <c r="H40" s="220"/>
      <c r="I40" s="220"/>
      <c r="J40" s="220"/>
    </row>
    <row r="41" spans="2:15">
      <c r="B41" s="297" t="s">
        <v>173</v>
      </c>
      <c r="C41" s="297"/>
      <c r="D41" s="297"/>
      <c r="E41" s="297"/>
      <c r="F41" s="297"/>
      <c r="G41" s="297"/>
      <c r="H41" s="297"/>
    </row>
    <row r="42" spans="2:15">
      <c r="B42" s="297" t="s">
        <v>174</v>
      </c>
      <c r="C42" s="297"/>
      <c r="D42" s="297"/>
      <c r="E42" s="297"/>
      <c r="F42" s="297"/>
      <c r="G42" s="297"/>
      <c r="H42" s="297"/>
      <c r="I42" s="297"/>
      <c r="J42" s="297"/>
    </row>
    <row r="43" spans="2:15">
      <c r="B43" s="220" t="s">
        <v>185</v>
      </c>
      <c r="C43" s="220"/>
      <c r="D43" s="220"/>
      <c r="E43" s="220"/>
      <c r="F43" s="220"/>
      <c r="G43" s="220"/>
      <c r="H43" s="220"/>
      <c r="I43" s="220"/>
    </row>
    <row r="44" spans="2:15">
      <c r="B44" s="220" t="s">
        <v>186</v>
      </c>
      <c r="C44" s="220"/>
      <c r="D44" s="220"/>
      <c r="E44" s="220"/>
      <c r="F44" s="220"/>
      <c r="G44" s="220"/>
      <c r="H44" s="220"/>
      <c r="I44" s="220"/>
    </row>
  </sheetData>
  <mergeCells count="33">
    <mergeCell ref="E32:G32"/>
    <mergeCell ref="B43:I43"/>
    <mergeCell ref="B44:I44"/>
    <mergeCell ref="B39:J39"/>
    <mergeCell ref="B40:J40"/>
    <mergeCell ref="B41:H41"/>
    <mergeCell ref="B42:J42"/>
    <mergeCell ref="B33:C33"/>
    <mergeCell ref="B35:L35"/>
    <mergeCell ref="B36:I36"/>
    <mergeCell ref="B37:L37"/>
    <mergeCell ref="B38:J38"/>
    <mergeCell ref="B34:G34"/>
    <mergeCell ref="B31:C31"/>
    <mergeCell ref="E30:F30"/>
    <mergeCell ref="E31:F31"/>
    <mergeCell ref="Q10:S10"/>
    <mergeCell ref="Q11:S11"/>
    <mergeCell ref="H30:I30"/>
    <mergeCell ref="J30:K30"/>
    <mergeCell ref="B29:F29"/>
    <mergeCell ref="B30:C30"/>
    <mergeCell ref="Y11:Z11"/>
    <mergeCell ref="B6:D6"/>
    <mergeCell ref="B7:D7"/>
    <mergeCell ref="G7:AA7"/>
    <mergeCell ref="G6:AA6"/>
    <mergeCell ref="D2:E2"/>
    <mergeCell ref="D3:E3"/>
    <mergeCell ref="B2:C2"/>
    <mergeCell ref="B3:C3"/>
    <mergeCell ref="B4:C4"/>
    <mergeCell ref="D4:E4"/>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BCA1ED7-0DD2-469E-B6A7-3000494F2ACE}">
          <x14:formula1>
            <xm:f>推奨設定一覧!$A$2:$A$15</xm:f>
          </x14:formula1>
          <xm:sqref>D2:E2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8連敗以上出現数</vt:lpstr>
      <vt:lpstr>はじめに(運用法選択)</vt:lpstr>
      <vt:lpstr>運用金額・複利目標金額計算表</vt:lpstr>
      <vt:lpstr>Stable3シュミレーション表</vt:lpstr>
      <vt:lpstr>参考)Stable3シュミレーション自由入力タイプ</vt:lpstr>
      <vt:lpstr>推奨設定一覧</vt:lpstr>
      <vt:lpstr>参考)連敗阻止ロット・TP試算表</vt:lpstr>
      <vt:lpstr>'8連敗以上出現数'!Print_Area</vt:lpstr>
      <vt:lpstr>Stable3シュミレーション表!Print_Area</vt:lpstr>
      <vt:lpstr>'はじめに(運用法選択)'!Print_Area</vt:lpstr>
      <vt:lpstr>'参考)Stable3シュミレーション自由入力タイプ'!Print_Area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石川respect</dc:creator>
  <cp:lastModifiedBy>石川respect</cp:lastModifiedBy>
  <cp:lastPrinted>2024-02-13T08:17:33Z</cp:lastPrinted>
  <dcterms:created xsi:type="dcterms:W3CDTF">2023-09-21T01:45:13Z</dcterms:created>
  <dcterms:modified xsi:type="dcterms:W3CDTF">2024-03-27T23:27:29Z</dcterms:modified>
</cp:coreProperties>
</file>